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80" windowHeight="1170"/>
  </bookViews>
  <sheets>
    <sheet name="Смета по ТСН-2001(с доп.67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ТСН-2001(с доп.67'!$26:$26</definedName>
    <definedName name="_xlnm.Print_Area" localSheetId="0">'Смета по ТСН-2001(с доп.67'!$A$1:$K$407</definedName>
  </definedNames>
  <calcPr calcId="125725" iterate="1"/>
</workbook>
</file>

<file path=xl/calcChain.xml><?xml version="1.0" encoding="utf-8"?>
<calcChain xmlns="http://schemas.openxmlformats.org/spreadsheetml/2006/main">
  <c r="A7" i="7"/>
  <c r="A2"/>
  <c r="J21"/>
  <c r="J18"/>
  <c r="J17"/>
  <c r="J16"/>
  <c r="J15"/>
  <c r="J14"/>
  <c r="I21"/>
  <c r="H406"/>
  <c r="J406"/>
  <c r="H405"/>
  <c r="J405"/>
  <c r="A404"/>
  <c r="H402"/>
  <c r="J402"/>
  <c r="H401"/>
  <c r="J401"/>
  <c r="A400"/>
  <c r="H398"/>
  <c r="J398"/>
  <c r="H397"/>
  <c r="J397"/>
  <c r="AQ396"/>
  <c r="A396"/>
  <c r="AA395"/>
  <c r="Z395"/>
  <c r="Y395"/>
  <c r="H394"/>
  <c r="J394"/>
  <c r="I392"/>
  <c r="AB392" s="1"/>
  <c r="H392"/>
  <c r="G392"/>
  <c r="E392"/>
  <c r="J391"/>
  <c r="E391"/>
  <c r="J390"/>
  <c r="E390"/>
  <c r="J389"/>
  <c r="E389"/>
  <c r="K388"/>
  <c r="J388"/>
  <c r="H388"/>
  <c r="AA388"/>
  <c r="Z388"/>
  <c r="Y388"/>
  <c r="I388"/>
  <c r="X388" s="1"/>
  <c r="F388"/>
  <c r="V388"/>
  <c r="T388"/>
  <c r="R388"/>
  <c r="U388"/>
  <c r="S388"/>
  <c r="Q388"/>
  <c r="E388"/>
  <c r="D388"/>
  <c r="B388"/>
  <c r="K387"/>
  <c r="J387"/>
  <c r="I387"/>
  <c r="W387" s="1"/>
  <c r="H387"/>
  <c r="G387"/>
  <c r="F387"/>
  <c r="K386"/>
  <c r="J386"/>
  <c r="I386"/>
  <c r="H386"/>
  <c r="G386"/>
  <c r="F386"/>
  <c r="K385"/>
  <c r="J385"/>
  <c r="I385"/>
  <c r="H385"/>
  <c r="G385"/>
  <c r="F385"/>
  <c r="C384"/>
  <c r="V383"/>
  <c r="K391" s="1"/>
  <c r="T383"/>
  <c r="K390" s="1"/>
  <c r="R383"/>
  <c r="K389" s="1"/>
  <c r="U383"/>
  <c r="I391" s="1"/>
  <c r="S383"/>
  <c r="Q383"/>
  <c r="I389" s="1"/>
  <c r="E383"/>
  <c r="D383"/>
  <c r="B383"/>
  <c r="AA381"/>
  <c r="Z381"/>
  <c r="Y381"/>
  <c r="H380"/>
  <c r="J380"/>
  <c r="I378"/>
  <c r="AB378" s="1"/>
  <c r="H378"/>
  <c r="G378"/>
  <c r="E378"/>
  <c r="J377"/>
  <c r="E377"/>
  <c r="J376"/>
  <c r="E376"/>
  <c r="J375"/>
  <c r="E375"/>
  <c r="K374"/>
  <c r="J374"/>
  <c r="H374"/>
  <c r="AA374"/>
  <c r="Z374"/>
  <c r="Y374"/>
  <c r="I374"/>
  <c r="X374" s="1"/>
  <c r="F374"/>
  <c r="V374"/>
  <c r="T374"/>
  <c r="R374"/>
  <c r="U374"/>
  <c r="S374"/>
  <c r="Q374"/>
  <c r="E374"/>
  <c r="D374"/>
  <c r="B374"/>
  <c r="K373"/>
  <c r="J373"/>
  <c r="I373"/>
  <c r="H373"/>
  <c r="G373"/>
  <c r="F373"/>
  <c r="K372"/>
  <c r="J372"/>
  <c r="I372"/>
  <c r="W372" s="1"/>
  <c r="H372"/>
  <c r="G372"/>
  <c r="F372"/>
  <c r="K371"/>
  <c r="J371"/>
  <c r="I371"/>
  <c r="H371"/>
  <c r="G371"/>
  <c r="F371"/>
  <c r="K370"/>
  <c r="J370"/>
  <c r="I370"/>
  <c r="W370" s="1"/>
  <c r="H370"/>
  <c r="G370"/>
  <c r="F370"/>
  <c r="C369"/>
  <c r="V368"/>
  <c r="K377" s="1"/>
  <c r="T368"/>
  <c r="K376" s="1"/>
  <c r="R368"/>
  <c r="U368"/>
  <c r="S368"/>
  <c r="I376" s="1"/>
  <c r="Q368"/>
  <c r="I375" s="1"/>
  <c r="E368"/>
  <c r="D368"/>
  <c r="B368"/>
  <c r="AA366"/>
  <c r="Z366"/>
  <c r="Y366"/>
  <c r="H365"/>
  <c r="J365"/>
  <c r="I363"/>
  <c r="AB363" s="1"/>
  <c r="H363"/>
  <c r="G363"/>
  <c r="E363"/>
  <c r="J362"/>
  <c r="E362"/>
  <c r="J361"/>
  <c r="E361"/>
  <c r="J360"/>
  <c r="E360"/>
  <c r="K359"/>
  <c r="J359"/>
  <c r="I359"/>
  <c r="H359"/>
  <c r="G359"/>
  <c r="F359"/>
  <c r="K358"/>
  <c r="J358"/>
  <c r="I358"/>
  <c r="W358" s="1"/>
  <c r="H358"/>
  <c r="G358"/>
  <c r="F358"/>
  <c r="K357"/>
  <c r="J357"/>
  <c r="I357"/>
  <c r="H357"/>
  <c r="G357"/>
  <c r="F357"/>
  <c r="K356"/>
  <c r="J356"/>
  <c r="I356"/>
  <c r="H356"/>
  <c r="G356"/>
  <c r="F356"/>
  <c r="C355"/>
  <c r="V354"/>
  <c r="K362" s="1"/>
  <c r="T354"/>
  <c r="K361" s="1"/>
  <c r="R354"/>
  <c r="K360" s="1"/>
  <c r="U354"/>
  <c r="I362" s="1"/>
  <c r="S354"/>
  <c r="I361" s="1"/>
  <c r="Q354"/>
  <c r="I360" s="1"/>
  <c r="E354"/>
  <c r="D354"/>
  <c r="B354"/>
  <c r="AA352"/>
  <c r="Z352"/>
  <c r="Y352"/>
  <c r="H351"/>
  <c r="J351"/>
  <c r="I349"/>
  <c r="AB349" s="1"/>
  <c r="H349"/>
  <c r="G349"/>
  <c r="E349"/>
  <c r="J348"/>
  <c r="E348"/>
  <c r="J347"/>
  <c r="E347"/>
  <c r="J346"/>
  <c r="E346"/>
  <c r="K345"/>
  <c r="J345"/>
  <c r="I345"/>
  <c r="H345"/>
  <c r="G345"/>
  <c r="F345"/>
  <c r="K344"/>
  <c r="J344"/>
  <c r="I344"/>
  <c r="W344" s="1"/>
  <c r="H344"/>
  <c r="G344"/>
  <c r="F344"/>
  <c r="K343"/>
  <c r="J343"/>
  <c r="I343"/>
  <c r="H343"/>
  <c r="G343"/>
  <c r="F343"/>
  <c r="K342"/>
  <c r="J342"/>
  <c r="I342"/>
  <c r="W342" s="1"/>
  <c r="H342"/>
  <c r="G342"/>
  <c r="F342"/>
  <c r="C341"/>
  <c r="V340"/>
  <c r="K348" s="1"/>
  <c r="T340"/>
  <c r="K347" s="1"/>
  <c r="R340"/>
  <c r="K346" s="1"/>
  <c r="U340"/>
  <c r="I348" s="1"/>
  <c r="S340"/>
  <c r="I347" s="1"/>
  <c r="Q340"/>
  <c r="I346" s="1"/>
  <c r="E340"/>
  <c r="D340"/>
  <c r="B340"/>
  <c r="B339"/>
  <c r="AA336"/>
  <c r="Z336"/>
  <c r="Y336"/>
  <c r="H335"/>
  <c r="J335"/>
  <c r="I333"/>
  <c r="AB333" s="1"/>
  <c r="H333"/>
  <c r="G333"/>
  <c r="E333"/>
  <c r="J332"/>
  <c r="E332"/>
  <c r="J331"/>
  <c r="E331"/>
  <c r="J330"/>
  <c r="E330"/>
  <c r="K329"/>
  <c r="J329"/>
  <c r="H329"/>
  <c r="AA329"/>
  <c r="Z329"/>
  <c r="Y329"/>
  <c r="I329"/>
  <c r="X329" s="1"/>
  <c r="F329"/>
  <c r="V329"/>
  <c r="T329"/>
  <c r="R329"/>
  <c r="U329"/>
  <c r="S329"/>
  <c r="Q329"/>
  <c r="E329"/>
  <c r="D329"/>
  <c r="B329"/>
  <c r="K328"/>
  <c r="J328"/>
  <c r="I328"/>
  <c r="H328"/>
  <c r="G328"/>
  <c r="F328"/>
  <c r="K327"/>
  <c r="J327"/>
  <c r="I327"/>
  <c r="W327" s="1"/>
  <c r="H327"/>
  <c r="G327"/>
  <c r="F327"/>
  <c r="K326"/>
  <c r="J326"/>
  <c r="I326"/>
  <c r="H326"/>
  <c r="G326"/>
  <c r="F326"/>
  <c r="K325"/>
  <c r="J325"/>
  <c r="I325"/>
  <c r="W325" s="1"/>
  <c r="H325"/>
  <c r="G325"/>
  <c r="F325"/>
  <c r="V324"/>
  <c r="T324"/>
  <c r="K331" s="1"/>
  <c r="R324"/>
  <c r="U324"/>
  <c r="I332" s="1"/>
  <c r="S324"/>
  <c r="Q324"/>
  <c r="I330" s="1"/>
  <c r="E324"/>
  <c r="D324"/>
  <c r="B324"/>
  <c r="AA322"/>
  <c r="Z322"/>
  <c r="Y322"/>
  <c r="H321"/>
  <c r="J321"/>
  <c r="I319"/>
  <c r="AB319" s="1"/>
  <c r="H319"/>
  <c r="G319"/>
  <c r="E319"/>
  <c r="J318"/>
  <c r="E318"/>
  <c r="J317"/>
  <c r="E317"/>
  <c r="J316"/>
  <c r="E316"/>
  <c r="K315"/>
  <c r="J315"/>
  <c r="H315"/>
  <c r="AA315"/>
  <c r="Z315"/>
  <c r="Y315"/>
  <c r="I315"/>
  <c r="X315" s="1"/>
  <c r="F315"/>
  <c r="V315"/>
  <c r="T315"/>
  <c r="R315"/>
  <c r="U315"/>
  <c r="S315"/>
  <c r="Q315"/>
  <c r="E315"/>
  <c r="D315"/>
  <c r="B315"/>
  <c r="K314"/>
  <c r="J314"/>
  <c r="I314"/>
  <c r="H314"/>
  <c r="G314"/>
  <c r="F314"/>
  <c r="K313"/>
  <c r="J313"/>
  <c r="I313"/>
  <c r="W313" s="1"/>
  <c r="H313"/>
  <c r="G313"/>
  <c r="F313"/>
  <c r="K312"/>
  <c r="J312"/>
  <c r="I312"/>
  <c r="H312"/>
  <c r="G312"/>
  <c r="F312"/>
  <c r="K311"/>
  <c r="J311"/>
  <c r="I311"/>
  <c r="W311" s="1"/>
  <c r="H311"/>
  <c r="G311"/>
  <c r="F311"/>
  <c r="C310"/>
  <c r="V309"/>
  <c r="K318" s="1"/>
  <c r="T309"/>
  <c r="K317" s="1"/>
  <c r="R309"/>
  <c r="U309"/>
  <c r="I318" s="1"/>
  <c r="S309"/>
  <c r="I317" s="1"/>
  <c r="Q309"/>
  <c r="I316" s="1"/>
  <c r="E309"/>
  <c r="D309"/>
  <c r="B309"/>
  <c r="AA307"/>
  <c r="Z307"/>
  <c r="Y307"/>
  <c r="H306"/>
  <c r="J306"/>
  <c r="I304"/>
  <c r="AB304" s="1"/>
  <c r="H304"/>
  <c r="G304"/>
  <c r="E304"/>
  <c r="J303"/>
  <c r="E303"/>
  <c r="J302"/>
  <c r="E302"/>
  <c r="J301"/>
  <c r="E301"/>
  <c r="K300"/>
  <c r="J300"/>
  <c r="H300"/>
  <c r="AA300"/>
  <c r="Z300"/>
  <c r="Y300"/>
  <c r="I300"/>
  <c r="X300" s="1"/>
  <c r="F300"/>
  <c r="V300"/>
  <c r="T300"/>
  <c r="R300"/>
  <c r="U300"/>
  <c r="S300"/>
  <c r="Q300"/>
  <c r="E300"/>
  <c r="D300"/>
  <c r="B300"/>
  <c r="K299"/>
  <c r="J299"/>
  <c r="I299"/>
  <c r="W299" s="1"/>
  <c r="H299"/>
  <c r="G299"/>
  <c r="F299"/>
  <c r="K298"/>
  <c r="J298"/>
  <c r="I298"/>
  <c r="H298"/>
  <c r="G298"/>
  <c r="F298"/>
  <c r="K297"/>
  <c r="J297"/>
  <c r="I297"/>
  <c r="H297"/>
  <c r="G297"/>
  <c r="F297"/>
  <c r="V296"/>
  <c r="T296"/>
  <c r="K302" s="1"/>
  <c r="R296"/>
  <c r="K301" s="1"/>
  <c r="U296"/>
  <c r="I303" s="1"/>
  <c r="S296"/>
  <c r="Q296"/>
  <c r="I301" s="1"/>
  <c r="E296"/>
  <c r="D296"/>
  <c r="B296"/>
  <c r="AA294"/>
  <c r="Z294"/>
  <c r="Y294"/>
  <c r="H293"/>
  <c r="J293"/>
  <c r="I291"/>
  <c r="AB291" s="1"/>
  <c r="H291"/>
  <c r="G291"/>
  <c r="E291"/>
  <c r="J290"/>
  <c r="E290"/>
  <c r="J289"/>
  <c r="E289"/>
  <c r="J288"/>
  <c r="E288"/>
  <c r="K287"/>
  <c r="J287"/>
  <c r="H287"/>
  <c r="AA287"/>
  <c r="Z287"/>
  <c r="Y287"/>
  <c r="I287"/>
  <c r="X287" s="1"/>
  <c r="F287"/>
  <c r="V287"/>
  <c r="T287"/>
  <c r="R287"/>
  <c r="U287"/>
  <c r="S287"/>
  <c r="Q287"/>
  <c r="E287"/>
  <c r="D287"/>
  <c r="B287"/>
  <c r="K286"/>
  <c r="J286"/>
  <c r="I286"/>
  <c r="H286"/>
  <c r="G286"/>
  <c r="F286"/>
  <c r="K285"/>
  <c r="J285"/>
  <c r="I285"/>
  <c r="W285" s="1"/>
  <c r="H285"/>
  <c r="G285"/>
  <c r="F285"/>
  <c r="K284"/>
  <c r="J284"/>
  <c r="I284"/>
  <c r="H284"/>
  <c r="G284"/>
  <c r="F284"/>
  <c r="K283"/>
  <c r="J283"/>
  <c r="I283"/>
  <c r="H283"/>
  <c r="G283"/>
  <c r="F283"/>
  <c r="C282"/>
  <c r="V281"/>
  <c r="K290" s="1"/>
  <c r="T281"/>
  <c r="R281"/>
  <c r="U281"/>
  <c r="I290" s="1"/>
  <c r="S281"/>
  <c r="I289" s="1"/>
  <c r="Q281"/>
  <c r="E281"/>
  <c r="D281"/>
  <c r="B281"/>
  <c r="AA279"/>
  <c r="Z279"/>
  <c r="Y279"/>
  <c r="H278"/>
  <c r="J278"/>
  <c r="I276"/>
  <c r="AB276" s="1"/>
  <c r="H276"/>
  <c r="G276"/>
  <c r="E276"/>
  <c r="J275"/>
  <c r="E275"/>
  <c r="J274"/>
  <c r="E274"/>
  <c r="K273"/>
  <c r="J273"/>
  <c r="H273"/>
  <c r="AA273"/>
  <c r="Z273"/>
  <c r="Y273"/>
  <c r="I273"/>
  <c r="X273" s="1"/>
  <c r="F273"/>
  <c r="V273"/>
  <c r="T273"/>
  <c r="R273"/>
  <c r="U273"/>
  <c r="S273"/>
  <c r="Q273"/>
  <c r="E273"/>
  <c r="D273"/>
  <c r="B273"/>
  <c r="K272"/>
  <c r="J272"/>
  <c r="I272"/>
  <c r="H272"/>
  <c r="G272"/>
  <c r="F272"/>
  <c r="C271"/>
  <c r="V270"/>
  <c r="T270"/>
  <c r="K275" s="1"/>
  <c r="R270"/>
  <c r="K274" s="1"/>
  <c r="U270"/>
  <c r="S270"/>
  <c r="I275" s="1"/>
  <c r="Q270"/>
  <c r="I274" s="1"/>
  <c r="E270"/>
  <c r="D270"/>
  <c r="B270"/>
  <c r="AA268"/>
  <c r="Z268"/>
  <c r="Y268"/>
  <c r="H267"/>
  <c r="J267"/>
  <c r="I265"/>
  <c r="AB265" s="1"/>
  <c r="H265"/>
  <c r="G265"/>
  <c r="E265"/>
  <c r="J264"/>
  <c r="E264"/>
  <c r="J263"/>
  <c r="E263"/>
  <c r="J262"/>
  <c r="E262"/>
  <c r="K261"/>
  <c r="J261"/>
  <c r="H261"/>
  <c r="AA261"/>
  <c r="Z261"/>
  <c r="Y261"/>
  <c r="I261"/>
  <c r="X261" s="1"/>
  <c r="F261"/>
  <c r="V261"/>
  <c r="T261"/>
  <c r="R261"/>
  <c r="U261"/>
  <c r="S261"/>
  <c r="Q261"/>
  <c r="E261"/>
  <c r="D261"/>
  <c r="B261"/>
  <c r="K260"/>
  <c r="J260"/>
  <c r="I260"/>
  <c r="H260"/>
  <c r="G260"/>
  <c r="F260"/>
  <c r="K259"/>
  <c r="J259"/>
  <c r="I259"/>
  <c r="W259" s="1"/>
  <c r="H259"/>
  <c r="G259"/>
  <c r="F259"/>
  <c r="K258"/>
  <c r="J258"/>
  <c r="I258"/>
  <c r="H258"/>
  <c r="G258"/>
  <c r="F258"/>
  <c r="K257"/>
  <c r="J257"/>
  <c r="I257"/>
  <c r="W257" s="1"/>
  <c r="H257"/>
  <c r="G257"/>
  <c r="F257"/>
  <c r="C256"/>
  <c r="V255"/>
  <c r="K264" s="1"/>
  <c r="T255"/>
  <c r="R255"/>
  <c r="U255"/>
  <c r="S255"/>
  <c r="I263" s="1"/>
  <c r="Q255"/>
  <c r="E255"/>
  <c r="D255"/>
  <c r="B255"/>
  <c r="AA253"/>
  <c r="Z253"/>
  <c r="Y253"/>
  <c r="H252"/>
  <c r="J252"/>
  <c r="I250"/>
  <c r="AB250" s="1"/>
  <c r="H250"/>
  <c r="G250"/>
  <c r="E250"/>
  <c r="J249"/>
  <c r="E249"/>
  <c r="J248"/>
  <c r="E248"/>
  <c r="J247"/>
  <c r="E247"/>
  <c r="K246"/>
  <c r="J246"/>
  <c r="H246"/>
  <c r="AA246"/>
  <c r="Z246"/>
  <c r="Y246"/>
  <c r="I246"/>
  <c r="X246" s="1"/>
  <c r="F246"/>
  <c r="V246"/>
  <c r="T246"/>
  <c r="R246"/>
  <c r="U246"/>
  <c r="S246"/>
  <c r="Q246"/>
  <c r="E246"/>
  <c r="D246"/>
  <c r="B246"/>
  <c r="K245"/>
  <c r="J245"/>
  <c r="I245"/>
  <c r="H245"/>
  <c r="G245"/>
  <c r="F245"/>
  <c r="K244"/>
  <c r="J244"/>
  <c r="I244"/>
  <c r="W244" s="1"/>
  <c r="H244"/>
  <c r="G244"/>
  <c r="F244"/>
  <c r="K243"/>
  <c r="J243"/>
  <c r="I243"/>
  <c r="H243"/>
  <c r="G243"/>
  <c r="F243"/>
  <c r="K242"/>
  <c r="J242"/>
  <c r="I242"/>
  <c r="H242"/>
  <c r="G242"/>
  <c r="F242"/>
  <c r="C241"/>
  <c r="V240"/>
  <c r="T240"/>
  <c r="R240"/>
  <c r="U240"/>
  <c r="I249" s="1"/>
  <c r="S240"/>
  <c r="I248" s="1"/>
  <c r="Q240"/>
  <c r="E240"/>
  <c r="D240"/>
  <c r="B240"/>
  <c r="AA238"/>
  <c r="Z238"/>
  <c r="Y238"/>
  <c r="H237"/>
  <c r="J237"/>
  <c r="I235"/>
  <c r="AB235" s="1"/>
  <c r="H235"/>
  <c r="G235"/>
  <c r="E235"/>
  <c r="J234"/>
  <c r="E234"/>
  <c r="J233"/>
  <c r="E233"/>
  <c r="J232"/>
  <c r="E232"/>
  <c r="K231"/>
  <c r="J231"/>
  <c r="H231"/>
  <c r="AA231"/>
  <c r="Z231"/>
  <c r="Y231"/>
  <c r="I231"/>
  <c r="X231" s="1"/>
  <c r="F231"/>
  <c r="V231"/>
  <c r="T231"/>
  <c r="R231"/>
  <c r="U231"/>
  <c r="S231"/>
  <c r="Q231"/>
  <c r="E231"/>
  <c r="D231"/>
  <c r="B231"/>
  <c r="K230"/>
  <c r="J230"/>
  <c r="I230"/>
  <c r="H230"/>
  <c r="G230"/>
  <c r="F230"/>
  <c r="K229"/>
  <c r="J229"/>
  <c r="I229"/>
  <c r="W229" s="1"/>
  <c r="H229"/>
  <c r="G229"/>
  <c r="F229"/>
  <c r="K228"/>
  <c r="J228"/>
  <c r="I228"/>
  <c r="H228"/>
  <c r="G228"/>
  <c r="F228"/>
  <c r="K227"/>
  <c r="J227"/>
  <c r="I227"/>
  <c r="W227" s="1"/>
  <c r="H227"/>
  <c r="G227"/>
  <c r="F227"/>
  <c r="C226"/>
  <c r="V225"/>
  <c r="K234" s="1"/>
  <c r="T225"/>
  <c r="R225"/>
  <c r="U225"/>
  <c r="I234" s="1"/>
  <c r="S225"/>
  <c r="I233" s="1"/>
  <c r="Q225"/>
  <c r="E225"/>
  <c r="D225"/>
  <c r="B225"/>
  <c r="AA223"/>
  <c r="Z223"/>
  <c r="Y223"/>
  <c r="H222"/>
  <c r="J222"/>
  <c r="I220"/>
  <c r="AB220" s="1"/>
  <c r="H220"/>
  <c r="G220"/>
  <c r="E220"/>
  <c r="J219"/>
  <c r="E219"/>
  <c r="J218"/>
  <c r="E218"/>
  <c r="J217"/>
  <c r="E217"/>
  <c r="K216"/>
  <c r="J216"/>
  <c r="H216"/>
  <c r="AA216"/>
  <c r="Z216"/>
  <c r="Y216"/>
  <c r="I216"/>
  <c r="X216" s="1"/>
  <c r="F216"/>
  <c r="V216"/>
  <c r="T216"/>
  <c r="R216"/>
  <c r="U216"/>
  <c r="S216"/>
  <c r="Q216"/>
  <c r="E216"/>
  <c r="D216"/>
  <c r="B216"/>
  <c r="K215"/>
  <c r="J215"/>
  <c r="I215"/>
  <c r="H215"/>
  <c r="G215"/>
  <c r="F215"/>
  <c r="K214"/>
  <c r="J214"/>
  <c r="I214"/>
  <c r="W214" s="1"/>
  <c r="H214"/>
  <c r="G214"/>
  <c r="F214"/>
  <c r="K213"/>
  <c r="J213"/>
  <c r="I213"/>
  <c r="H213"/>
  <c r="G213"/>
  <c r="F213"/>
  <c r="K212"/>
  <c r="J212"/>
  <c r="I212"/>
  <c r="H212"/>
  <c r="G212"/>
  <c r="F212"/>
  <c r="C211"/>
  <c r="V210"/>
  <c r="T210"/>
  <c r="K218" s="1"/>
  <c r="R210"/>
  <c r="K217" s="1"/>
  <c r="U210"/>
  <c r="S210"/>
  <c r="Q210"/>
  <c r="I217" s="1"/>
  <c r="E210"/>
  <c r="D210"/>
  <c r="B210"/>
  <c r="AA208"/>
  <c r="Z208"/>
  <c r="Y208"/>
  <c r="H207"/>
  <c r="J207"/>
  <c r="I205"/>
  <c r="AB205" s="1"/>
  <c r="H205"/>
  <c r="G205"/>
  <c r="E205"/>
  <c r="J204"/>
  <c r="E204"/>
  <c r="J203"/>
  <c r="E203"/>
  <c r="J202"/>
  <c r="E202"/>
  <c r="K201"/>
  <c r="J201"/>
  <c r="H201"/>
  <c r="AA201"/>
  <c r="Z201"/>
  <c r="Y201"/>
  <c r="I201"/>
  <c r="X201" s="1"/>
  <c r="F201"/>
  <c r="V201"/>
  <c r="T201"/>
  <c r="R201"/>
  <c r="U201"/>
  <c r="S201"/>
  <c r="Q201"/>
  <c r="E201"/>
  <c r="D201"/>
  <c r="B201"/>
  <c r="K200"/>
  <c r="J200"/>
  <c r="I200"/>
  <c r="H200"/>
  <c r="G200"/>
  <c r="F200"/>
  <c r="K199"/>
  <c r="J199"/>
  <c r="I199"/>
  <c r="W199" s="1"/>
  <c r="H199"/>
  <c r="G199"/>
  <c r="F199"/>
  <c r="K198"/>
  <c r="J198"/>
  <c r="I198"/>
  <c r="H198"/>
  <c r="G198"/>
  <c r="F198"/>
  <c r="K197"/>
  <c r="J197"/>
  <c r="I197"/>
  <c r="W197" s="1"/>
  <c r="H197"/>
  <c r="G197"/>
  <c r="F197"/>
  <c r="C196"/>
  <c r="V195"/>
  <c r="K204" s="1"/>
  <c r="T195"/>
  <c r="R195"/>
  <c r="K202" s="1"/>
  <c r="U195"/>
  <c r="I204" s="1"/>
  <c r="S195"/>
  <c r="I203" s="1"/>
  <c r="Q195"/>
  <c r="E195"/>
  <c r="D195"/>
  <c r="B195"/>
  <c r="B194"/>
  <c r="AA191"/>
  <c r="Z191"/>
  <c r="Y191"/>
  <c r="H190"/>
  <c r="J190"/>
  <c r="J188"/>
  <c r="E188"/>
  <c r="K187"/>
  <c r="J187"/>
  <c r="I187"/>
  <c r="W187" s="1"/>
  <c r="H187"/>
  <c r="G187"/>
  <c r="F187"/>
  <c r="K186"/>
  <c r="J189" s="1"/>
  <c r="J186"/>
  <c r="I186"/>
  <c r="H186"/>
  <c r="G186"/>
  <c r="F186"/>
  <c r="C185"/>
  <c r="V184"/>
  <c r="K188" s="1"/>
  <c r="T184"/>
  <c r="R184"/>
  <c r="U184"/>
  <c r="I188" s="1"/>
  <c r="O191" s="1"/>
  <c r="S184"/>
  <c r="Q184"/>
  <c r="E184"/>
  <c r="D184"/>
  <c r="B184"/>
  <c r="AA182"/>
  <c r="Z182"/>
  <c r="Y182"/>
  <c r="H181"/>
  <c r="J181"/>
  <c r="I179"/>
  <c r="AB179" s="1"/>
  <c r="H179"/>
  <c r="G179"/>
  <c r="E179"/>
  <c r="J178"/>
  <c r="E178"/>
  <c r="J177"/>
  <c r="E177"/>
  <c r="J176"/>
  <c r="E176"/>
  <c r="K175"/>
  <c r="J175"/>
  <c r="I175"/>
  <c r="W175" s="1"/>
  <c r="H175"/>
  <c r="G175"/>
  <c r="F175"/>
  <c r="K174"/>
  <c r="J174"/>
  <c r="I174"/>
  <c r="H174"/>
  <c r="G174"/>
  <c r="F174"/>
  <c r="K173"/>
  <c r="J173"/>
  <c r="I173"/>
  <c r="H173"/>
  <c r="G173"/>
  <c r="F173"/>
  <c r="C172"/>
  <c r="V171"/>
  <c r="K178" s="1"/>
  <c r="T171"/>
  <c r="K177" s="1"/>
  <c r="R171"/>
  <c r="K176" s="1"/>
  <c r="P182" s="1"/>
  <c r="U171"/>
  <c r="I178" s="1"/>
  <c r="S171"/>
  <c r="I177" s="1"/>
  <c r="Q171"/>
  <c r="I176" s="1"/>
  <c r="E171"/>
  <c r="D171"/>
  <c r="B171"/>
  <c r="AA169"/>
  <c r="Z169"/>
  <c r="Y169"/>
  <c r="H168"/>
  <c r="J168"/>
  <c r="I166"/>
  <c r="AB166" s="1"/>
  <c r="H166"/>
  <c r="G166"/>
  <c r="E166"/>
  <c r="J165"/>
  <c r="E165"/>
  <c r="J164"/>
  <c r="E164"/>
  <c r="J163"/>
  <c r="E163"/>
  <c r="K162"/>
  <c r="J162"/>
  <c r="I162"/>
  <c r="W162" s="1"/>
  <c r="H162"/>
  <c r="G162"/>
  <c r="F162"/>
  <c r="K161"/>
  <c r="J161"/>
  <c r="I161"/>
  <c r="H161"/>
  <c r="G161"/>
  <c r="F161"/>
  <c r="K160"/>
  <c r="J160"/>
  <c r="W160"/>
  <c r="I160"/>
  <c r="H160"/>
  <c r="G160"/>
  <c r="F160"/>
  <c r="C159"/>
  <c r="V158"/>
  <c r="K165" s="1"/>
  <c r="T158"/>
  <c r="K164" s="1"/>
  <c r="R158"/>
  <c r="K163" s="1"/>
  <c r="U158"/>
  <c r="I165" s="1"/>
  <c r="S158"/>
  <c r="I164" s="1"/>
  <c r="Q158"/>
  <c r="I163" s="1"/>
  <c r="E158"/>
  <c r="D158"/>
  <c r="B158"/>
  <c r="AA156"/>
  <c r="Z156"/>
  <c r="Y156"/>
  <c r="H155"/>
  <c r="J155"/>
  <c r="AB153"/>
  <c r="I153"/>
  <c r="H153"/>
  <c r="G153"/>
  <c r="E153"/>
  <c r="J152"/>
  <c r="E152"/>
  <c r="J151"/>
  <c r="E151"/>
  <c r="J150"/>
  <c r="E150"/>
  <c r="K149"/>
  <c r="J149"/>
  <c r="I149"/>
  <c r="W149" s="1"/>
  <c r="H149"/>
  <c r="G149"/>
  <c r="F149"/>
  <c r="K148"/>
  <c r="J148"/>
  <c r="I148"/>
  <c r="H148"/>
  <c r="G148"/>
  <c r="F148"/>
  <c r="K147"/>
  <c r="J147"/>
  <c r="I147"/>
  <c r="H147"/>
  <c r="G147"/>
  <c r="F147"/>
  <c r="C146"/>
  <c r="V145"/>
  <c r="K152" s="1"/>
  <c r="T145"/>
  <c r="K151" s="1"/>
  <c r="R145"/>
  <c r="K150" s="1"/>
  <c r="U145"/>
  <c r="I152" s="1"/>
  <c r="S145"/>
  <c r="I151" s="1"/>
  <c r="Q145"/>
  <c r="I150" s="1"/>
  <c r="E145"/>
  <c r="D145"/>
  <c r="B145"/>
  <c r="B144"/>
  <c r="A142"/>
  <c r="A140"/>
  <c r="H138"/>
  <c r="J138"/>
  <c r="H137"/>
  <c r="J137"/>
  <c r="A136"/>
  <c r="H134"/>
  <c r="J134"/>
  <c r="H133"/>
  <c r="J133"/>
  <c r="A132"/>
  <c r="AA129"/>
  <c r="Z129"/>
  <c r="Y129"/>
  <c r="H128"/>
  <c r="J128"/>
  <c r="I126"/>
  <c r="AB126" s="1"/>
  <c r="H126"/>
  <c r="G126"/>
  <c r="E126"/>
  <c r="J125"/>
  <c r="E125"/>
  <c r="J124"/>
  <c r="E124"/>
  <c r="K123"/>
  <c r="J123"/>
  <c r="H123"/>
  <c r="AA123"/>
  <c r="Z123"/>
  <c r="Y123"/>
  <c r="I123"/>
  <c r="X123" s="1"/>
  <c r="F123"/>
  <c r="V123"/>
  <c r="T123"/>
  <c r="R123"/>
  <c r="U123"/>
  <c r="S123"/>
  <c r="Q123"/>
  <c r="E123"/>
  <c r="D123"/>
  <c r="B123"/>
  <c r="K122"/>
  <c r="J122"/>
  <c r="I122"/>
  <c r="H122"/>
  <c r="G122"/>
  <c r="F122"/>
  <c r="K121"/>
  <c r="J121"/>
  <c r="I121"/>
  <c r="W121" s="1"/>
  <c r="H121"/>
  <c r="G121"/>
  <c r="F121"/>
  <c r="V120"/>
  <c r="T120"/>
  <c r="R120"/>
  <c r="K124" s="1"/>
  <c r="U120"/>
  <c r="S120"/>
  <c r="I125" s="1"/>
  <c r="Q120"/>
  <c r="E120"/>
  <c r="D120"/>
  <c r="B120"/>
  <c r="AA118"/>
  <c r="Z118"/>
  <c r="Y118"/>
  <c r="H117"/>
  <c r="J117"/>
  <c r="AB115"/>
  <c r="I115"/>
  <c r="H115"/>
  <c r="G115"/>
  <c r="E115"/>
  <c r="J114"/>
  <c r="E114"/>
  <c r="J113"/>
  <c r="E113"/>
  <c r="K112"/>
  <c r="J112"/>
  <c r="H112"/>
  <c r="AA112"/>
  <c r="Z112"/>
  <c r="Y112"/>
  <c r="I112"/>
  <c r="X112" s="1"/>
  <c r="F112"/>
  <c r="V112"/>
  <c r="T112"/>
  <c r="R112"/>
  <c r="U112"/>
  <c r="S112"/>
  <c r="Q112"/>
  <c r="E112"/>
  <c r="D112"/>
  <c r="B112"/>
  <c r="K111"/>
  <c r="J111"/>
  <c r="I111"/>
  <c r="H111"/>
  <c r="G111"/>
  <c r="F111"/>
  <c r="C110"/>
  <c r="V109"/>
  <c r="T109"/>
  <c r="K114" s="1"/>
  <c r="R109"/>
  <c r="K113" s="1"/>
  <c r="U109"/>
  <c r="S109"/>
  <c r="I114" s="1"/>
  <c r="Q109"/>
  <c r="I113" s="1"/>
  <c r="E109"/>
  <c r="D109"/>
  <c r="B109"/>
  <c r="AA107"/>
  <c r="Z107"/>
  <c r="Y107"/>
  <c r="H106"/>
  <c r="J106"/>
  <c r="I104"/>
  <c r="AB104" s="1"/>
  <c r="H104"/>
  <c r="G104"/>
  <c r="E104"/>
  <c r="J103"/>
  <c r="E103"/>
  <c r="J102"/>
  <c r="E102"/>
  <c r="K101"/>
  <c r="J101"/>
  <c r="H101"/>
  <c r="AA101"/>
  <c r="Z101"/>
  <c r="Y101"/>
  <c r="I101"/>
  <c r="X101" s="1"/>
  <c r="F101"/>
  <c r="V101"/>
  <c r="T101"/>
  <c r="R101"/>
  <c r="U101"/>
  <c r="S101"/>
  <c r="Q101"/>
  <c r="E101"/>
  <c r="D101"/>
  <c r="B101"/>
  <c r="K100"/>
  <c r="J100"/>
  <c r="I100"/>
  <c r="H100"/>
  <c r="G100"/>
  <c r="F100"/>
  <c r="C99"/>
  <c r="V98"/>
  <c r="T98"/>
  <c r="K103" s="1"/>
  <c r="R98"/>
  <c r="K102" s="1"/>
  <c r="U98"/>
  <c r="S98"/>
  <c r="I103" s="1"/>
  <c r="Q98"/>
  <c r="I102" s="1"/>
  <c r="E98"/>
  <c r="D98"/>
  <c r="B98"/>
  <c r="AA96"/>
  <c r="Z96"/>
  <c r="Y96"/>
  <c r="H95"/>
  <c r="J95"/>
  <c r="I93"/>
  <c r="AB93" s="1"/>
  <c r="H93"/>
  <c r="G93"/>
  <c r="E93"/>
  <c r="J92"/>
  <c r="E92"/>
  <c r="J91"/>
  <c r="E91"/>
  <c r="J90"/>
  <c r="E90"/>
  <c r="K89"/>
  <c r="J89"/>
  <c r="H89"/>
  <c r="AA89"/>
  <c r="Z89"/>
  <c r="Y89"/>
  <c r="I89"/>
  <c r="X89" s="1"/>
  <c r="F89"/>
  <c r="V89"/>
  <c r="T89"/>
  <c r="R89"/>
  <c r="U89"/>
  <c r="S89"/>
  <c r="Q89"/>
  <c r="E89"/>
  <c r="D89"/>
  <c r="B89"/>
  <c r="K88"/>
  <c r="J88"/>
  <c r="I88"/>
  <c r="W88" s="1"/>
  <c r="H88"/>
  <c r="G88"/>
  <c r="F88"/>
  <c r="K87"/>
  <c r="J87"/>
  <c r="I87"/>
  <c r="H87"/>
  <c r="G87"/>
  <c r="F87"/>
  <c r="K86"/>
  <c r="J86"/>
  <c r="I86"/>
  <c r="W86" s="1"/>
  <c r="H86"/>
  <c r="G86"/>
  <c r="F86"/>
  <c r="C85"/>
  <c r="V84"/>
  <c r="K92" s="1"/>
  <c r="T84"/>
  <c r="R84"/>
  <c r="U84"/>
  <c r="S84"/>
  <c r="I91" s="1"/>
  <c r="Q84"/>
  <c r="I90" s="1"/>
  <c r="E84"/>
  <c r="D84"/>
  <c r="B84"/>
  <c r="B83"/>
  <c r="AA80"/>
  <c r="Z80"/>
  <c r="Y80"/>
  <c r="H79"/>
  <c r="J79"/>
  <c r="I77"/>
  <c r="AB77" s="1"/>
  <c r="H77"/>
  <c r="G77"/>
  <c r="E77"/>
  <c r="J76"/>
  <c r="E76"/>
  <c r="J75"/>
  <c r="E75"/>
  <c r="K74"/>
  <c r="J74"/>
  <c r="H74"/>
  <c r="AA74"/>
  <c r="Z74"/>
  <c r="Y74"/>
  <c r="I74"/>
  <c r="X74" s="1"/>
  <c r="F74"/>
  <c r="V74"/>
  <c r="T74"/>
  <c r="R74"/>
  <c r="U74"/>
  <c r="S74"/>
  <c r="Q74"/>
  <c r="E74"/>
  <c r="D74"/>
  <c r="B74"/>
  <c r="K73"/>
  <c r="J73"/>
  <c r="I73"/>
  <c r="H73"/>
  <c r="G73"/>
  <c r="F73"/>
  <c r="K72"/>
  <c r="J72"/>
  <c r="I72"/>
  <c r="W72" s="1"/>
  <c r="H72"/>
  <c r="G72"/>
  <c r="F72"/>
  <c r="V71"/>
  <c r="T71"/>
  <c r="K76" s="1"/>
  <c r="R71"/>
  <c r="U71"/>
  <c r="S71"/>
  <c r="Q71"/>
  <c r="I75" s="1"/>
  <c r="E71"/>
  <c r="D71"/>
  <c r="B71"/>
  <c r="AA69"/>
  <c r="Z69"/>
  <c r="Y69"/>
  <c r="H68"/>
  <c r="J68"/>
  <c r="I66"/>
  <c r="AB66" s="1"/>
  <c r="H66"/>
  <c r="G66"/>
  <c r="E66"/>
  <c r="J65"/>
  <c r="E65"/>
  <c r="J64"/>
  <c r="E64"/>
  <c r="K63"/>
  <c r="J63"/>
  <c r="H63"/>
  <c r="AA63"/>
  <c r="Z63"/>
  <c r="Y63"/>
  <c r="I63"/>
  <c r="X63" s="1"/>
  <c r="F63"/>
  <c r="V63"/>
  <c r="T63"/>
  <c r="R63"/>
  <c r="U63"/>
  <c r="S63"/>
  <c r="Q63"/>
  <c r="E63"/>
  <c r="D63"/>
  <c r="B63"/>
  <c r="K62"/>
  <c r="J62"/>
  <c r="I62"/>
  <c r="W62" s="1"/>
  <c r="H62"/>
  <c r="G62"/>
  <c r="F62"/>
  <c r="C61"/>
  <c r="V60"/>
  <c r="T60"/>
  <c r="R60"/>
  <c r="U60"/>
  <c r="S60"/>
  <c r="Q60"/>
  <c r="E60"/>
  <c r="D60"/>
  <c r="B60"/>
  <c r="AA58"/>
  <c r="Z58"/>
  <c r="Y58"/>
  <c r="H57"/>
  <c r="J57"/>
  <c r="I55"/>
  <c r="AB55" s="1"/>
  <c r="H55"/>
  <c r="G55"/>
  <c r="E55"/>
  <c r="J54"/>
  <c r="E54"/>
  <c r="J53"/>
  <c r="E53"/>
  <c r="K52"/>
  <c r="J52"/>
  <c r="H52"/>
  <c r="AA52"/>
  <c r="Z52"/>
  <c r="Y52"/>
  <c r="I52"/>
  <c r="X52" s="1"/>
  <c r="F52"/>
  <c r="V52"/>
  <c r="T52"/>
  <c r="R52"/>
  <c r="U52"/>
  <c r="S52"/>
  <c r="Q52"/>
  <c r="E52"/>
  <c r="D52"/>
  <c r="B52"/>
  <c r="K51"/>
  <c r="J51"/>
  <c r="I51"/>
  <c r="W51" s="1"/>
  <c r="H51"/>
  <c r="G51"/>
  <c r="F51"/>
  <c r="C50"/>
  <c r="V49"/>
  <c r="T49"/>
  <c r="K54" s="1"/>
  <c r="R49"/>
  <c r="U49"/>
  <c r="S49"/>
  <c r="Q49"/>
  <c r="I53" s="1"/>
  <c r="E49"/>
  <c r="D49"/>
  <c r="B49"/>
  <c r="AA47"/>
  <c r="Z47"/>
  <c r="Y47"/>
  <c r="H46"/>
  <c r="J46"/>
  <c r="I44"/>
  <c r="AB44" s="1"/>
  <c r="H44"/>
  <c r="G44"/>
  <c r="E44"/>
  <c r="J43"/>
  <c r="E43"/>
  <c r="J42"/>
  <c r="E42"/>
  <c r="J41"/>
  <c r="E41"/>
  <c r="K40"/>
  <c r="J40"/>
  <c r="H40"/>
  <c r="AA40"/>
  <c r="Z40"/>
  <c r="I16" s="1"/>
  <c r="Y40"/>
  <c r="I40"/>
  <c r="X40" s="1"/>
  <c r="F40"/>
  <c r="V40"/>
  <c r="T40"/>
  <c r="R40"/>
  <c r="U40"/>
  <c r="S40"/>
  <c r="Q40"/>
  <c r="E40"/>
  <c r="D40"/>
  <c r="B40"/>
  <c r="K39"/>
  <c r="J39"/>
  <c r="I39"/>
  <c r="W39" s="1"/>
  <c r="H39"/>
  <c r="G39"/>
  <c r="F39"/>
  <c r="K38"/>
  <c r="J38"/>
  <c r="I38"/>
  <c r="H38"/>
  <c r="G38"/>
  <c r="F38"/>
  <c r="K37"/>
  <c r="J37"/>
  <c r="I37"/>
  <c r="H37"/>
  <c r="G37"/>
  <c r="F37"/>
  <c r="C36"/>
  <c r="V35"/>
  <c r="K43" s="1"/>
  <c r="T35"/>
  <c r="K42" s="1"/>
  <c r="R35"/>
  <c r="K41" s="1"/>
  <c r="U35"/>
  <c r="I43" s="1"/>
  <c r="S35"/>
  <c r="I42" s="1"/>
  <c r="Q35"/>
  <c r="E35"/>
  <c r="D35"/>
  <c r="B35"/>
  <c r="B34"/>
  <c r="A32"/>
  <c r="A30"/>
  <c r="A28"/>
  <c r="A10"/>
  <c r="D12" i="1"/>
  <c r="E18"/>
  <c r="Z18"/>
  <c r="AA18"/>
  <c r="AB18"/>
  <c r="AC18"/>
  <c r="AD18"/>
  <c r="AE18"/>
  <c r="AF18"/>
  <c r="AG18"/>
  <c r="AH18"/>
  <c r="AI18"/>
  <c r="AJ18"/>
  <c r="AK18"/>
  <c r="AL18"/>
  <c r="AM18"/>
  <c r="AN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R18"/>
  <c r="DS18"/>
  <c r="DT18"/>
  <c r="DU18"/>
  <c r="DV18"/>
  <c r="DW18"/>
  <c r="DX18"/>
  <c r="DY18"/>
  <c r="DZ18"/>
  <c r="EA18"/>
  <c r="EB18"/>
  <c r="EC18"/>
  <c r="ED18"/>
  <c r="EE18"/>
  <c r="EF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D20"/>
  <c r="E22"/>
  <c r="Z22"/>
  <c r="AA22"/>
  <c r="AB22"/>
  <c r="AC22"/>
  <c r="AD22"/>
  <c r="AE22"/>
  <c r="AF22"/>
  <c r="AG22"/>
  <c r="AH22"/>
  <c r="AI22"/>
  <c r="AJ22"/>
  <c r="AK22"/>
  <c r="AL22"/>
  <c r="AM22"/>
  <c r="AN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R22"/>
  <c r="DS22"/>
  <c r="DT22"/>
  <c r="DU22"/>
  <c r="DV22"/>
  <c r="DW22"/>
  <c r="DX22"/>
  <c r="DY22"/>
  <c r="DZ22"/>
  <c r="EA22"/>
  <c r="EB22"/>
  <c r="EC22"/>
  <c r="ED22"/>
  <c r="EE22"/>
  <c r="EF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D24"/>
  <c r="E26"/>
  <c r="Z26"/>
  <c r="AA26"/>
  <c r="AB26"/>
  <c r="AC26"/>
  <c r="AD26"/>
  <c r="AE26"/>
  <c r="AF26"/>
  <c r="AG26"/>
  <c r="AH26"/>
  <c r="AI26"/>
  <c r="AJ26"/>
  <c r="AK26"/>
  <c r="AL26"/>
  <c r="AM26"/>
  <c r="AN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BX26"/>
  <c r="BY26"/>
  <c r="BZ26"/>
  <c r="CA26"/>
  <c r="CB26"/>
  <c r="CC26"/>
  <c r="CD26"/>
  <c r="CE26"/>
  <c r="CF26"/>
  <c r="CG26"/>
  <c r="CH26"/>
  <c r="CI26"/>
  <c r="CJ26"/>
  <c r="CK26"/>
  <c r="CL26"/>
  <c r="CM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R26"/>
  <c r="DS26"/>
  <c r="DT26"/>
  <c r="DU26"/>
  <c r="DV26"/>
  <c r="DW26"/>
  <c r="DX26"/>
  <c r="DY26"/>
  <c r="DZ26"/>
  <c r="EA26"/>
  <c r="EB26"/>
  <c r="EC26"/>
  <c r="ED26"/>
  <c r="EE26"/>
  <c r="EF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FP26"/>
  <c r="FQ26"/>
  <c r="FR26"/>
  <c r="FS26"/>
  <c r="FT26"/>
  <c r="FU26"/>
  <c r="FV26"/>
  <c r="FW26"/>
  <c r="FX26"/>
  <c r="FY26"/>
  <c r="FZ26"/>
  <c r="GA26"/>
  <c r="GB26"/>
  <c r="GC26"/>
  <c r="GD26"/>
  <c r="GE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D28"/>
  <c r="E30"/>
  <c r="Z30"/>
  <c r="AA30"/>
  <c r="AM30"/>
  <c r="AN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BW30"/>
  <c r="CN30"/>
  <c r="CO30"/>
  <c r="CP30"/>
  <c r="CQ30"/>
  <c r="CR30"/>
  <c r="CS30"/>
  <c r="CT30"/>
  <c r="CU30"/>
  <c r="CV30"/>
  <c r="CW30"/>
  <c r="CX30"/>
  <c r="CY30"/>
  <c r="CZ30"/>
  <c r="DA30"/>
  <c r="DB30"/>
  <c r="DC30"/>
  <c r="DD30"/>
  <c r="DE30"/>
  <c r="DF30"/>
  <c r="DR30"/>
  <c r="DS30"/>
  <c r="EE30"/>
  <c r="EF30"/>
  <c r="EW30"/>
  <c r="EX30"/>
  <c r="EY30"/>
  <c r="EZ30"/>
  <c r="FA30"/>
  <c r="FB30"/>
  <c r="FC30"/>
  <c r="FD30"/>
  <c r="FE30"/>
  <c r="FF30"/>
  <c r="FG30"/>
  <c r="FH30"/>
  <c r="FI30"/>
  <c r="FJ30"/>
  <c r="FK30"/>
  <c r="FL30"/>
  <c r="FM30"/>
  <c r="FN30"/>
  <c r="FO30"/>
  <c r="GF30"/>
  <c r="GG30"/>
  <c r="GH30"/>
  <c r="GI30"/>
  <c r="GJ30"/>
  <c r="GK30"/>
  <c r="GL30"/>
  <c r="GM30"/>
  <c r="GN30"/>
  <c r="GO30"/>
  <c r="GP30"/>
  <c r="GQ30"/>
  <c r="GR30"/>
  <c r="GS30"/>
  <c r="GT30"/>
  <c r="GU30"/>
  <c r="GV30"/>
  <c r="GW30"/>
  <c r="GX30"/>
  <c r="I33"/>
  <c r="K33"/>
  <c r="R33"/>
  <c r="S33"/>
  <c r="CY33" s="1"/>
  <c r="X33" s="1"/>
  <c r="AC33"/>
  <c r="P33" s="1"/>
  <c r="CP33" s="1"/>
  <c r="O33" s="1"/>
  <c r="AD33"/>
  <c r="AE33"/>
  <c r="Q33" s="1"/>
  <c r="AF33"/>
  <c r="AG33"/>
  <c r="CU33" s="1"/>
  <c r="T33" s="1"/>
  <c r="AH33"/>
  <c r="CV33" s="1"/>
  <c r="U33" s="1"/>
  <c r="AI33"/>
  <c r="AJ33"/>
  <c r="CR33"/>
  <c r="CS33"/>
  <c r="CT33"/>
  <c r="CW33"/>
  <c r="V33" s="1"/>
  <c r="CX33"/>
  <c r="W33" s="1"/>
  <c r="FR33"/>
  <c r="GK33"/>
  <c r="GL33"/>
  <c r="GO33"/>
  <c r="GP33"/>
  <c r="GV33"/>
  <c r="GX33"/>
  <c r="HC33"/>
  <c r="I34"/>
  <c r="K34"/>
  <c r="S34"/>
  <c r="CY34" s="1"/>
  <c r="X34" s="1"/>
  <c r="AC34"/>
  <c r="P34" s="1"/>
  <c r="CP34" s="1"/>
  <c r="O34" s="1"/>
  <c r="AE34"/>
  <c r="Q34" s="1"/>
  <c r="AF34"/>
  <c r="AG34"/>
  <c r="CU34" s="1"/>
  <c r="T34" s="1"/>
  <c r="AH34"/>
  <c r="AI34"/>
  <c r="CW34" s="1"/>
  <c r="V34" s="1"/>
  <c r="AJ34"/>
  <c r="CR34"/>
  <c r="CT34"/>
  <c r="CV34"/>
  <c r="U34" s="1"/>
  <c r="CX34"/>
  <c r="W34" s="1"/>
  <c r="CZ34"/>
  <c r="Y34" s="1"/>
  <c r="FR34"/>
  <c r="GL34"/>
  <c r="GO34"/>
  <c r="GP34"/>
  <c r="GV34"/>
  <c r="HC34"/>
  <c r="GX34" s="1"/>
  <c r="I35"/>
  <c r="S35"/>
  <c r="CY35" s="1"/>
  <c r="X35" s="1"/>
  <c r="AC35"/>
  <c r="AE35"/>
  <c r="R35" s="1"/>
  <c r="GK35" s="1"/>
  <c r="AF35"/>
  <c r="AG35"/>
  <c r="CU35" s="1"/>
  <c r="T35" s="1"/>
  <c r="AH35"/>
  <c r="AI35"/>
  <c r="CW35" s="1"/>
  <c r="V35" s="1"/>
  <c r="AJ35"/>
  <c r="CR35"/>
  <c r="CT35"/>
  <c r="CV35"/>
  <c r="U35" s="1"/>
  <c r="CX35"/>
  <c r="W35" s="1"/>
  <c r="CZ35"/>
  <c r="Y35" s="1"/>
  <c r="FR35"/>
  <c r="GL35"/>
  <c r="GO35"/>
  <c r="GP35"/>
  <c r="GV35"/>
  <c r="HC35" s="1"/>
  <c r="GX35" s="1"/>
  <c r="I36"/>
  <c r="S36"/>
  <c r="CY36" s="1"/>
  <c r="X36" s="1"/>
  <c r="AC36"/>
  <c r="P36" s="1"/>
  <c r="AE36"/>
  <c r="Q36" s="1"/>
  <c r="AF36"/>
  <c r="AG36"/>
  <c r="CU36" s="1"/>
  <c r="T36" s="1"/>
  <c r="AH36"/>
  <c r="AI36"/>
  <c r="CW36" s="1"/>
  <c r="V36" s="1"/>
  <c r="AJ36"/>
  <c r="CR36"/>
  <c r="CT36"/>
  <c r="CV36"/>
  <c r="U36" s="1"/>
  <c r="CX36"/>
  <c r="W36" s="1"/>
  <c r="CZ36"/>
  <c r="Y36" s="1"/>
  <c r="FR36"/>
  <c r="GL36"/>
  <c r="GO36"/>
  <c r="GP36"/>
  <c r="GV36"/>
  <c r="HC36"/>
  <c r="GX36" s="1"/>
  <c r="I37"/>
  <c r="K37"/>
  <c r="P37"/>
  <c r="R37"/>
  <c r="GK37" s="1"/>
  <c r="AC37"/>
  <c r="AD37"/>
  <c r="AB37" s="1"/>
  <c r="AE37"/>
  <c r="Q37" s="1"/>
  <c r="AF37"/>
  <c r="S37" s="1"/>
  <c r="AG37"/>
  <c r="AH37"/>
  <c r="CV37" s="1"/>
  <c r="U37" s="1"/>
  <c r="AI37"/>
  <c r="AJ37"/>
  <c r="CX37" s="1"/>
  <c r="W37" s="1"/>
  <c r="CQ37"/>
  <c r="CR37"/>
  <c r="CS37"/>
  <c r="CU37"/>
  <c r="T37" s="1"/>
  <c r="CW37"/>
  <c r="V37" s="1"/>
  <c r="FR37"/>
  <c r="GL37"/>
  <c r="GO37"/>
  <c r="GP37"/>
  <c r="GV37"/>
  <c r="HC37" s="1"/>
  <c r="GX37" s="1"/>
  <c r="I38"/>
  <c r="S38" s="1"/>
  <c r="K38"/>
  <c r="AC38"/>
  <c r="AE38"/>
  <c r="R38" s="1"/>
  <c r="GK38" s="1"/>
  <c r="AF38"/>
  <c r="AG38"/>
  <c r="CU38" s="1"/>
  <c r="T38" s="1"/>
  <c r="AH38"/>
  <c r="AI38"/>
  <c r="CW38" s="1"/>
  <c r="V38" s="1"/>
  <c r="AJ38"/>
  <c r="CR38"/>
  <c r="CT38"/>
  <c r="CV38"/>
  <c r="U38" s="1"/>
  <c r="CX38"/>
  <c r="W38" s="1"/>
  <c r="FR38"/>
  <c r="GL38"/>
  <c r="GO38"/>
  <c r="GP38"/>
  <c r="GV38"/>
  <c r="HC38" s="1"/>
  <c r="GX38" s="1"/>
  <c r="I39"/>
  <c r="S39"/>
  <c r="CY39" s="1"/>
  <c r="X39" s="1"/>
  <c r="AC39"/>
  <c r="P39" s="1"/>
  <c r="AE39"/>
  <c r="Q39" s="1"/>
  <c r="AF39"/>
  <c r="AG39"/>
  <c r="CU39" s="1"/>
  <c r="T39" s="1"/>
  <c r="AH39"/>
  <c r="AI39"/>
  <c r="CW39" s="1"/>
  <c r="V39" s="1"/>
  <c r="AJ39"/>
  <c r="CR39"/>
  <c r="CT39"/>
  <c r="CV39"/>
  <c r="U39" s="1"/>
  <c r="CX39"/>
  <c r="W39" s="1"/>
  <c r="CZ39"/>
  <c r="Y39" s="1"/>
  <c r="FR39"/>
  <c r="GL39"/>
  <c r="GO39"/>
  <c r="GP39"/>
  <c r="GV39"/>
  <c r="HC39"/>
  <c r="GX39" s="1"/>
  <c r="I40"/>
  <c r="S40"/>
  <c r="CY40" s="1"/>
  <c r="X40" s="1"/>
  <c r="AC40"/>
  <c r="AE40"/>
  <c r="R40" s="1"/>
  <c r="GK40" s="1"/>
  <c r="AF40"/>
  <c r="AG40"/>
  <c r="CU40" s="1"/>
  <c r="T40" s="1"/>
  <c r="AH40"/>
  <c r="AI40"/>
  <c r="CW40" s="1"/>
  <c r="V40" s="1"/>
  <c r="AJ40"/>
  <c r="CR40"/>
  <c r="CT40"/>
  <c r="CV40"/>
  <c r="U40" s="1"/>
  <c r="CX40"/>
  <c r="W40" s="1"/>
  <c r="CZ40"/>
  <c r="Y40" s="1"/>
  <c r="FR40"/>
  <c r="GL40"/>
  <c r="GO40"/>
  <c r="GP40"/>
  <c r="GV40"/>
  <c r="HC40" s="1"/>
  <c r="GX40" s="1"/>
  <c r="I41"/>
  <c r="K41"/>
  <c r="P41"/>
  <c r="R41"/>
  <c r="GK41" s="1"/>
  <c r="AC41"/>
  <c r="AD41"/>
  <c r="AE41"/>
  <c r="Q41" s="1"/>
  <c r="AF41"/>
  <c r="S41" s="1"/>
  <c r="AG41"/>
  <c r="AH41"/>
  <c r="CV41" s="1"/>
  <c r="U41" s="1"/>
  <c r="AI41"/>
  <c r="AJ41"/>
  <c r="CX41" s="1"/>
  <c r="W41" s="1"/>
  <c r="CQ41"/>
  <c r="CR41"/>
  <c r="CS41"/>
  <c r="CU41"/>
  <c r="T41" s="1"/>
  <c r="CW41"/>
  <c r="V41" s="1"/>
  <c r="FR41"/>
  <c r="GL41"/>
  <c r="GO41"/>
  <c r="GP41"/>
  <c r="GV41"/>
  <c r="GX41"/>
  <c r="HC41"/>
  <c r="I42"/>
  <c r="I44" s="1"/>
  <c r="K42"/>
  <c r="S42"/>
  <c r="CY42" s="1"/>
  <c r="X42" s="1"/>
  <c r="AC42"/>
  <c r="P42" s="1"/>
  <c r="AE42"/>
  <c r="Q42" s="1"/>
  <c r="AF42"/>
  <c r="AG42"/>
  <c r="CU42" s="1"/>
  <c r="T42" s="1"/>
  <c r="AH42"/>
  <c r="AI42"/>
  <c r="CW42" s="1"/>
  <c r="V42" s="1"/>
  <c r="AJ42"/>
  <c r="CR42"/>
  <c r="CT42"/>
  <c r="CV42"/>
  <c r="U42" s="1"/>
  <c r="CX42"/>
  <c r="W42" s="1"/>
  <c r="CZ42"/>
  <c r="Y42" s="1"/>
  <c r="FR42"/>
  <c r="GL42"/>
  <c r="GO42"/>
  <c r="GP42"/>
  <c r="GV42"/>
  <c r="HC42"/>
  <c r="GX42" s="1"/>
  <c r="I43"/>
  <c r="S43"/>
  <c r="CY43" s="1"/>
  <c r="X43" s="1"/>
  <c r="AC43"/>
  <c r="AE43"/>
  <c r="R43" s="1"/>
  <c r="GK43" s="1"/>
  <c r="AF43"/>
  <c r="AG43"/>
  <c r="CU43" s="1"/>
  <c r="T43" s="1"/>
  <c r="AH43"/>
  <c r="AI43"/>
  <c r="CW43" s="1"/>
  <c r="V43" s="1"/>
  <c r="AJ43"/>
  <c r="CR43"/>
  <c r="CT43"/>
  <c r="CV43"/>
  <c r="U43" s="1"/>
  <c r="CX43"/>
  <c r="W43" s="1"/>
  <c r="CZ43"/>
  <c r="Y43" s="1"/>
  <c r="FR43"/>
  <c r="GL43"/>
  <c r="GO43"/>
  <c r="GP43"/>
  <c r="GV43"/>
  <c r="HC43" s="1"/>
  <c r="GX43" s="1"/>
  <c r="AC44"/>
  <c r="P44" s="1"/>
  <c r="AE44"/>
  <c r="AD44" s="1"/>
  <c r="AF44"/>
  <c r="AG44"/>
  <c r="CU44" s="1"/>
  <c r="T44" s="1"/>
  <c r="AH44"/>
  <c r="AI44"/>
  <c r="CW44" s="1"/>
  <c r="AJ44"/>
  <c r="CR44"/>
  <c r="CT44"/>
  <c r="CV44"/>
  <c r="CX44"/>
  <c r="FR44"/>
  <c r="GL44"/>
  <c r="GO44"/>
  <c r="GP44"/>
  <c r="GV44"/>
  <c r="HC44"/>
  <c r="GX44" s="1"/>
  <c r="I45"/>
  <c r="K45"/>
  <c r="P45"/>
  <c r="R45"/>
  <c r="GK45" s="1"/>
  <c r="AC45"/>
  <c r="AD45"/>
  <c r="AB45" s="1"/>
  <c r="AE45"/>
  <c r="Q45" s="1"/>
  <c r="AF45"/>
  <c r="S45" s="1"/>
  <c r="AG45"/>
  <c r="AH45"/>
  <c r="CV45" s="1"/>
  <c r="U45" s="1"/>
  <c r="AI45"/>
  <c r="AJ45"/>
  <c r="CX45" s="1"/>
  <c r="W45" s="1"/>
  <c r="CQ45"/>
  <c r="CR45"/>
  <c r="CS45"/>
  <c r="CU45"/>
  <c r="T45" s="1"/>
  <c r="CW45"/>
  <c r="V45" s="1"/>
  <c r="FR45"/>
  <c r="GL45"/>
  <c r="GO45"/>
  <c r="GP45"/>
  <c r="GV45"/>
  <c r="HC45" s="1"/>
  <c r="GX45" s="1"/>
  <c r="I46"/>
  <c r="S46" s="1"/>
  <c r="K46"/>
  <c r="AC46"/>
  <c r="AE46"/>
  <c r="R46" s="1"/>
  <c r="GK46" s="1"/>
  <c r="AF46"/>
  <c r="AG46"/>
  <c r="CU46" s="1"/>
  <c r="T46" s="1"/>
  <c r="AH46"/>
  <c r="AI46"/>
  <c r="CW46" s="1"/>
  <c r="V46" s="1"/>
  <c r="AJ46"/>
  <c r="CR46"/>
  <c r="CT46"/>
  <c r="CV46"/>
  <c r="U46" s="1"/>
  <c r="CX46"/>
  <c r="W46" s="1"/>
  <c r="FR46"/>
  <c r="GL46"/>
  <c r="GO46"/>
  <c r="GP46"/>
  <c r="GV46"/>
  <c r="HC46" s="1"/>
  <c r="GX46" s="1"/>
  <c r="I47"/>
  <c r="S47"/>
  <c r="CZ47" s="1"/>
  <c r="Y47" s="1"/>
  <c r="AC47"/>
  <c r="P47" s="1"/>
  <c r="AE47"/>
  <c r="Q47" s="1"/>
  <c r="AF47"/>
  <c r="AG47"/>
  <c r="CU47" s="1"/>
  <c r="T47" s="1"/>
  <c r="AH47"/>
  <c r="AI47"/>
  <c r="CW47" s="1"/>
  <c r="V47" s="1"/>
  <c r="AJ47"/>
  <c r="CR47"/>
  <c r="CT47"/>
  <c r="CV47"/>
  <c r="U47" s="1"/>
  <c r="CX47"/>
  <c r="W47" s="1"/>
  <c r="FR47"/>
  <c r="GL47"/>
  <c r="GO47"/>
  <c r="GP47"/>
  <c r="GV47"/>
  <c r="HC47"/>
  <c r="GX47" s="1"/>
  <c r="AC48"/>
  <c r="AE48"/>
  <c r="AF48"/>
  <c r="AG48"/>
  <c r="CU48" s="1"/>
  <c r="AH48"/>
  <c r="AI48"/>
  <c r="CW48" s="1"/>
  <c r="AJ48"/>
  <c r="CR48"/>
  <c r="CT48"/>
  <c r="CV48"/>
  <c r="CX48"/>
  <c r="FR48"/>
  <c r="GL48"/>
  <c r="GO48"/>
  <c r="GP48"/>
  <c r="GV48"/>
  <c r="HC48" s="1"/>
  <c r="I50"/>
  <c r="K50"/>
  <c r="P50"/>
  <c r="R50"/>
  <c r="GK50" s="1"/>
  <c r="AC50"/>
  <c r="AD50"/>
  <c r="AE50"/>
  <c r="Q50" s="1"/>
  <c r="AF50"/>
  <c r="S50" s="1"/>
  <c r="AG50"/>
  <c r="AH50"/>
  <c r="CV50" s="1"/>
  <c r="U50" s="1"/>
  <c r="AI50"/>
  <c r="AJ50"/>
  <c r="CX50" s="1"/>
  <c r="W50" s="1"/>
  <c r="CQ50"/>
  <c r="CR50"/>
  <c r="CS50"/>
  <c r="CU50"/>
  <c r="T50" s="1"/>
  <c r="CW50"/>
  <c r="V50" s="1"/>
  <c r="FR50"/>
  <c r="GL50"/>
  <c r="GO50"/>
  <c r="GP50"/>
  <c r="GV50"/>
  <c r="GX50"/>
  <c r="HC50"/>
  <c r="I51"/>
  <c r="I53" s="1"/>
  <c r="K51"/>
  <c r="S51"/>
  <c r="CZ51" s="1"/>
  <c r="Y51" s="1"/>
  <c r="AC51"/>
  <c r="P51" s="1"/>
  <c r="AE51"/>
  <c r="Q51" s="1"/>
  <c r="AF51"/>
  <c r="AG51"/>
  <c r="CU51" s="1"/>
  <c r="T51" s="1"/>
  <c r="AH51"/>
  <c r="AI51"/>
  <c r="CW51" s="1"/>
  <c r="V51" s="1"/>
  <c r="AJ51"/>
  <c r="CR51"/>
  <c r="CT51"/>
  <c r="CV51"/>
  <c r="U51" s="1"/>
  <c r="CX51"/>
  <c r="W51" s="1"/>
  <c r="FR51"/>
  <c r="GL51"/>
  <c r="GO51"/>
  <c r="GP51"/>
  <c r="GV51"/>
  <c r="HC51"/>
  <c r="GX51" s="1"/>
  <c r="I52"/>
  <c r="S52"/>
  <c r="CY52" s="1"/>
  <c r="X52" s="1"/>
  <c r="AC52"/>
  <c r="AE52"/>
  <c r="R52" s="1"/>
  <c r="GK52" s="1"/>
  <c r="AF52"/>
  <c r="AG52"/>
  <c r="CU52" s="1"/>
  <c r="T52" s="1"/>
  <c r="AH52"/>
  <c r="AI52"/>
  <c r="CW52" s="1"/>
  <c r="V52" s="1"/>
  <c r="AJ52"/>
  <c r="CR52"/>
  <c r="CT52"/>
  <c r="CV52"/>
  <c r="U52" s="1"/>
  <c r="CX52"/>
  <c r="W52" s="1"/>
  <c r="CZ52"/>
  <c r="Y52" s="1"/>
  <c r="FR52"/>
  <c r="GL52"/>
  <c r="GO52"/>
  <c r="GP52"/>
  <c r="GV52"/>
  <c r="HC52" s="1"/>
  <c r="GX52" s="1"/>
  <c r="AC53"/>
  <c r="P53" s="1"/>
  <c r="AE53"/>
  <c r="AD53" s="1"/>
  <c r="AF53"/>
  <c r="AG53"/>
  <c r="CU53" s="1"/>
  <c r="AH53"/>
  <c r="AI53"/>
  <c r="CW53" s="1"/>
  <c r="V53" s="1"/>
  <c r="AJ53"/>
  <c r="CR53"/>
  <c r="CT53"/>
  <c r="CV53"/>
  <c r="U53" s="1"/>
  <c r="CX53"/>
  <c r="FR53"/>
  <c r="GL53"/>
  <c r="GO53"/>
  <c r="GP53"/>
  <c r="GV53"/>
  <c r="HC53"/>
  <c r="GX53" s="1"/>
  <c r="I54"/>
  <c r="K54"/>
  <c r="P54"/>
  <c r="CP54" s="1"/>
  <c r="O54" s="1"/>
  <c r="R54"/>
  <c r="GK54" s="1"/>
  <c r="AC54"/>
  <c r="AD54"/>
  <c r="AB54" s="1"/>
  <c r="AE54"/>
  <c r="Q54" s="1"/>
  <c r="AF54"/>
  <c r="S54" s="1"/>
  <c r="CZ54" s="1"/>
  <c r="Y54" s="1"/>
  <c r="AG54"/>
  <c r="AH54"/>
  <c r="CV54" s="1"/>
  <c r="U54" s="1"/>
  <c r="AI54"/>
  <c r="AJ54"/>
  <c r="CX54" s="1"/>
  <c r="W54" s="1"/>
  <c r="CQ54"/>
  <c r="CR54"/>
  <c r="CS54"/>
  <c r="CU54"/>
  <c r="T54" s="1"/>
  <c r="CW54"/>
  <c r="V54" s="1"/>
  <c r="CY54"/>
  <c r="X54" s="1"/>
  <c r="FR54"/>
  <c r="GL54"/>
  <c r="GO54"/>
  <c r="GP54"/>
  <c r="GV54"/>
  <c r="HC54" s="1"/>
  <c r="GX54"/>
  <c r="I55"/>
  <c r="I57" s="1"/>
  <c r="Q57" s="1"/>
  <c r="K55"/>
  <c r="Q55"/>
  <c r="S55"/>
  <c r="CY55" s="1"/>
  <c r="X55" s="1"/>
  <c r="AC55"/>
  <c r="AE55"/>
  <c r="AF55"/>
  <c r="AG55"/>
  <c r="CU55" s="1"/>
  <c r="T55" s="1"/>
  <c r="AH55"/>
  <c r="AI55"/>
  <c r="CW55" s="1"/>
  <c r="AJ55"/>
  <c r="CR55"/>
  <c r="CT55"/>
  <c r="CV55"/>
  <c r="U55" s="1"/>
  <c r="CX55"/>
  <c r="W55" s="1"/>
  <c r="CZ55"/>
  <c r="Y55" s="1"/>
  <c r="FR55"/>
  <c r="GL55"/>
  <c r="GO55"/>
  <c r="GP55"/>
  <c r="GV55"/>
  <c r="HC55"/>
  <c r="GX55" s="1"/>
  <c r="I56"/>
  <c r="Q56"/>
  <c r="S56"/>
  <c r="CY56" s="1"/>
  <c r="X56" s="1"/>
  <c r="AC56"/>
  <c r="AE56"/>
  <c r="AF56"/>
  <c r="AG56"/>
  <c r="CU56" s="1"/>
  <c r="T56" s="1"/>
  <c r="AH56"/>
  <c r="AI56"/>
  <c r="CW56" s="1"/>
  <c r="V56" s="1"/>
  <c r="AJ56"/>
  <c r="CR56"/>
  <c r="CT56"/>
  <c r="CV56"/>
  <c r="U56" s="1"/>
  <c r="AH67" s="1"/>
  <c r="CX56"/>
  <c r="W56" s="1"/>
  <c r="AJ67" s="1"/>
  <c r="CZ56"/>
  <c r="Y56" s="1"/>
  <c r="FR56"/>
  <c r="GL56"/>
  <c r="GO56"/>
  <c r="GP56"/>
  <c r="GV56"/>
  <c r="HC56"/>
  <c r="GX56" s="1"/>
  <c r="S57"/>
  <c r="CY57" s="1"/>
  <c r="X57" s="1"/>
  <c r="U57"/>
  <c r="AC57"/>
  <c r="AE57"/>
  <c r="CR57" s="1"/>
  <c r="AF57"/>
  <c r="AG57"/>
  <c r="CU57" s="1"/>
  <c r="AH57"/>
  <c r="AI57"/>
  <c r="CW57" s="1"/>
  <c r="V57" s="1"/>
  <c r="AJ57"/>
  <c r="CT57"/>
  <c r="CV57"/>
  <c r="CX57"/>
  <c r="W57" s="1"/>
  <c r="CZ57"/>
  <c r="Y57" s="1"/>
  <c r="FR57"/>
  <c r="GL57"/>
  <c r="GO57"/>
  <c r="GP57"/>
  <c r="GV57"/>
  <c r="HC57"/>
  <c r="GX57" s="1"/>
  <c r="I58"/>
  <c r="K58"/>
  <c r="P58"/>
  <c r="R58"/>
  <c r="GK58" s="1"/>
  <c r="AC58"/>
  <c r="AD58"/>
  <c r="AE58"/>
  <c r="Q58" s="1"/>
  <c r="AF58"/>
  <c r="AG58"/>
  <c r="AH58"/>
  <c r="CV58" s="1"/>
  <c r="U58" s="1"/>
  <c r="AI58"/>
  <c r="AJ58"/>
  <c r="CX58" s="1"/>
  <c r="W58" s="1"/>
  <c r="CQ58"/>
  <c r="CR58"/>
  <c r="CS58"/>
  <c r="CU58"/>
  <c r="T58" s="1"/>
  <c r="CW58"/>
  <c r="V58" s="1"/>
  <c r="FR58"/>
  <c r="GL58"/>
  <c r="GO58"/>
  <c r="GP58"/>
  <c r="GV58"/>
  <c r="GX58"/>
  <c r="HC58"/>
  <c r="I59"/>
  <c r="Q59" s="1"/>
  <c r="K59"/>
  <c r="S59"/>
  <c r="CY59" s="1"/>
  <c r="X59" s="1"/>
  <c r="W59"/>
  <c r="AC59"/>
  <c r="AE59"/>
  <c r="CR59" s="1"/>
  <c r="AF59"/>
  <c r="AG59"/>
  <c r="CU59" s="1"/>
  <c r="AH59"/>
  <c r="AI59"/>
  <c r="CW59" s="1"/>
  <c r="V59" s="1"/>
  <c r="AJ59"/>
  <c r="CT59"/>
  <c r="CV59"/>
  <c r="U59" s="1"/>
  <c r="CX59"/>
  <c r="CZ59"/>
  <c r="Y59" s="1"/>
  <c r="FR59"/>
  <c r="GL59"/>
  <c r="GO59"/>
  <c r="GP59"/>
  <c r="GV59"/>
  <c r="HC59"/>
  <c r="GX59" s="1"/>
  <c r="I60"/>
  <c r="AC60"/>
  <c r="AD60"/>
  <c r="AE60"/>
  <c r="R60" s="1"/>
  <c r="AF60"/>
  <c r="S60" s="1"/>
  <c r="AG60"/>
  <c r="CU60" s="1"/>
  <c r="T60" s="1"/>
  <c r="AH60"/>
  <c r="CV60" s="1"/>
  <c r="U60" s="1"/>
  <c r="AI60"/>
  <c r="AJ60"/>
  <c r="CR60"/>
  <c r="CS60"/>
  <c r="CT60"/>
  <c r="CW60"/>
  <c r="V60" s="1"/>
  <c r="CX60"/>
  <c r="W60" s="1"/>
  <c r="FR60"/>
  <c r="GK60"/>
  <c r="GL60"/>
  <c r="GO60"/>
  <c r="GP60"/>
  <c r="GV60"/>
  <c r="HC60"/>
  <c r="GX60" s="1"/>
  <c r="CJ67" s="1"/>
  <c r="I61"/>
  <c r="P61" s="1"/>
  <c r="AC61"/>
  <c r="AE61"/>
  <c r="R61" s="1"/>
  <c r="GK61" s="1"/>
  <c r="AF61"/>
  <c r="S61" s="1"/>
  <c r="AG61"/>
  <c r="AH61"/>
  <c r="AI61"/>
  <c r="CW61" s="1"/>
  <c r="V61" s="1"/>
  <c r="AJ61"/>
  <c r="CX61" s="1"/>
  <c r="W61" s="1"/>
  <c r="CQ61"/>
  <c r="CR61"/>
  <c r="CU61"/>
  <c r="T61" s="1"/>
  <c r="CV61"/>
  <c r="U61" s="1"/>
  <c r="FR61"/>
  <c r="GL61"/>
  <c r="GO61"/>
  <c r="GP61"/>
  <c r="GV61"/>
  <c r="HC61" s="1"/>
  <c r="GX61" s="1"/>
  <c r="I62"/>
  <c r="K62"/>
  <c r="R62"/>
  <c r="GK62" s="1"/>
  <c r="AC62"/>
  <c r="P62" s="1"/>
  <c r="AE62"/>
  <c r="AD62" s="1"/>
  <c r="AB62" s="1"/>
  <c r="AF62"/>
  <c r="S62" s="1"/>
  <c r="AG62"/>
  <c r="CU62" s="1"/>
  <c r="T62" s="1"/>
  <c r="AH62"/>
  <c r="AI62"/>
  <c r="AJ62"/>
  <c r="CX62" s="1"/>
  <c r="W62" s="1"/>
  <c r="CR62"/>
  <c r="CS62"/>
  <c r="CV62"/>
  <c r="U62" s="1"/>
  <c r="CW62"/>
  <c r="V62" s="1"/>
  <c r="FR62"/>
  <c r="GL62"/>
  <c r="GO62"/>
  <c r="GP62"/>
  <c r="GV62"/>
  <c r="GX62"/>
  <c r="HC62"/>
  <c r="I63"/>
  <c r="K63"/>
  <c r="R63"/>
  <c r="S63"/>
  <c r="CZ63" s="1"/>
  <c r="Y63" s="1"/>
  <c r="AC63"/>
  <c r="P63" s="1"/>
  <c r="AD63"/>
  <c r="AE63"/>
  <c r="Q63" s="1"/>
  <c r="AF63"/>
  <c r="AG63"/>
  <c r="CU63" s="1"/>
  <c r="T63" s="1"/>
  <c r="AH63"/>
  <c r="CV63" s="1"/>
  <c r="U63" s="1"/>
  <c r="AI63"/>
  <c r="AJ63"/>
  <c r="CR63"/>
  <c r="CS63"/>
  <c r="CT63"/>
  <c r="CW63"/>
  <c r="V63" s="1"/>
  <c r="CX63"/>
  <c r="W63" s="1"/>
  <c r="FR63"/>
  <c r="GK63"/>
  <c r="GL63"/>
  <c r="GO63"/>
  <c r="GP63"/>
  <c r="GV63"/>
  <c r="HC63"/>
  <c r="GX63" s="1"/>
  <c r="I64"/>
  <c r="P64" s="1"/>
  <c r="AC64"/>
  <c r="AE64"/>
  <c r="R64" s="1"/>
  <c r="GK64" s="1"/>
  <c r="AF64"/>
  <c r="S64" s="1"/>
  <c r="AG64"/>
  <c r="AH64"/>
  <c r="AI64"/>
  <c r="CW64" s="1"/>
  <c r="V64" s="1"/>
  <c r="AJ64"/>
  <c r="CX64" s="1"/>
  <c r="W64" s="1"/>
  <c r="CQ64"/>
  <c r="CR64"/>
  <c r="CU64"/>
  <c r="T64" s="1"/>
  <c r="CV64"/>
  <c r="U64" s="1"/>
  <c r="FR64"/>
  <c r="GL64"/>
  <c r="GO64"/>
  <c r="GP64"/>
  <c r="GV64"/>
  <c r="HC64" s="1"/>
  <c r="GX64" s="1"/>
  <c r="I65"/>
  <c r="Q65" s="1"/>
  <c r="R65"/>
  <c r="S65"/>
  <c r="CZ65" s="1"/>
  <c r="Y65" s="1"/>
  <c r="AC65"/>
  <c r="P65" s="1"/>
  <c r="AD65"/>
  <c r="AE65"/>
  <c r="AF65"/>
  <c r="AG65"/>
  <c r="CU65" s="1"/>
  <c r="T65" s="1"/>
  <c r="AH65"/>
  <c r="CV65" s="1"/>
  <c r="U65" s="1"/>
  <c r="AI65"/>
  <c r="AJ65"/>
  <c r="CR65"/>
  <c r="CS65"/>
  <c r="CT65"/>
  <c r="CW65"/>
  <c r="V65" s="1"/>
  <c r="CX65"/>
  <c r="W65" s="1"/>
  <c r="FR65"/>
  <c r="GK65"/>
  <c r="GL65"/>
  <c r="GO65"/>
  <c r="GP65"/>
  <c r="GV65"/>
  <c r="HC65"/>
  <c r="GX65" s="1"/>
  <c r="B67"/>
  <c r="B30" s="1"/>
  <c r="C67"/>
  <c r="C30" s="1"/>
  <c r="D67"/>
  <c r="D30" s="1"/>
  <c r="F67"/>
  <c r="F30" s="1"/>
  <c r="G67"/>
  <c r="G30" s="1"/>
  <c r="BX67"/>
  <c r="BX30" s="1"/>
  <c r="BY67"/>
  <c r="BY30" s="1"/>
  <c r="BZ67"/>
  <c r="BZ30" s="1"/>
  <c r="CC67"/>
  <c r="CC30" s="1"/>
  <c r="CD67"/>
  <c r="CD30" s="1"/>
  <c r="CG67"/>
  <c r="CG30" s="1"/>
  <c r="CK67"/>
  <c r="CK30" s="1"/>
  <c r="CL67"/>
  <c r="CL30" s="1"/>
  <c r="CM67"/>
  <c r="CM30" s="1"/>
  <c r="FP67"/>
  <c r="FP30" s="1"/>
  <c r="FQ67"/>
  <c r="FQ30" s="1"/>
  <c r="FR67"/>
  <c r="FR30" s="1"/>
  <c r="FU67"/>
  <c r="FU30" s="1"/>
  <c r="FV67"/>
  <c r="FV30" s="1"/>
  <c r="GA67"/>
  <c r="GA30" s="1"/>
  <c r="GC67"/>
  <c r="GC30" s="1"/>
  <c r="GD67"/>
  <c r="GD30" s="1"/>
  <c r="GE67"/>
  <c r="GE30" s="1"/>
  <c r="B97"/>
  <c r="B26" s="1"/>
  <c r="C97"/>
  <c r="C26" s="1"/>
  <c r="D97"/>
  <c r="D26" s="1"/>
  <c r="F97"/>
  <c r="F26" s="1"/>
  <c r="G97"/>
  <c r="G26" s="1"/>
  <c r="D127"/>
  <c r="E129"/>
  <c r="Z129"/>
  <c r="AA129"/>
  <c r="AB129"/>
  <c r="AC129"/>
  <c r="AD129"/>
  <c r="AE129"/>
  <c r="AF129"/>
  <c r="AG129"/>
  <c r="AH129"/>
  <c r="AI129"/>
  <c r="AJ129"/>
  <c r="AK129"/>
  <c r="AL129"/>
  <c r="AM129"/>
  <c r="AN129"/>
  <c r="BE129"/>
  <c r="BF129"/>
  <c r="BG129"/>
  <c r="BH129"/>
  <c r="BI129"/>
  <c r="BJ129"/>
  <c r="BK129"/>
  <c r="BL129"/>
  <c r="BM129"/>
  <c r="BN129"/>
  <c r="BO129"/>
  <c r="BP129"/>
  <c r="BQ129"/>
  <c r="BR129"/>
  <c r="BS129"/>
  <c r="BT129"/>
  <c r="BU129"/>
  <c r="BV129"/>
  <c r="BW129"/>
  <c r="BX129"/>
  <c r="BY129"/>
  <c r="BZ129"/>
  <c r="CA129"/>
  <c r="CB129"/>
  <c r="CC129"/>
  <c r="CD129"/>
  <c r="CE129"/>
  <c r="CF129"/>
  <c r="CG129"/>
  <c r="CH129"/>
  <c r="CI129"/>
  <c r="CJ129"/>
  <c r="CK129"/>
  <c r="CL129"/>
  <c r="CM129"/>
  <c r="CN129"/>
  <c r="CO129"/>
  <c r="CP129"/>
  <c r="CQ129"/>
  <c r="CR129"/>
  <c r="CS129"/>
  <c r="CT129"/>
  <c r="CU129"/>
  <c r="CV129"/>
  <c r="CW129"/>
  <c r="CX129"/>
  <c r="CY129"/>
  <c r="CZ129"/>
  <c r="DA129"/>
  <c r="DB129"/>
  <c r="DC129"/>
  <c r="DD129"/>
  <c r="DE129"/>
  <c r="DF129"/>
  <c r="DR129"/>
  <c r="DS129"/>
  <c r="DT129"/>
  <c r="DU129"/>
  <c r="DV129"/>
  <c r="DW129"/>
  <c r="DX129"/>
  <c r="DY129"/>
  <c r="DZ129"/>
  <c r="EA129"/>
  <c r="EB129"/>
  <c r="EC129"/>
  <c r="ED129"/>
  <c r="EE129"/>
  <c r="EF129"/>
  <c r="EW129"/>
  <c r="EX129"/>
  <c r="EY129"/>
  <c r="EZ129"/>
  <c r="FA129"/>
  <c r="FB129"/>
  <c r="FC129"/>
  <c r="FD129"/>
  <c r="FE129"/>
  <c r="FF129"/>
  <c r="FG129"/>
  <c r="FH129"/>
  <c r="FI129"/>
  <c r="FJ129"/>
  <c r="FK129"/>
  <c r="FL129"/>
  <c r="FM129"/>
  <c r="FN129"/>
  <c r="FO129"/>
  <c r="FP129"/>
  <c r="FQ129"/>
  <c r="FR129"/>
  <c r="FS129"/>
  <c r="FT129"/>
  <c r="FU129"/>
  <c r="FV129"/>
  <c r="FW129"/>
  <c r="FX129"/>
  <c r="FY129"/>
  <c r="FZ129"/>
  <c r="GA129"/>
  <c r="GB129"/>
  <c r="GC129"/>
  <c r="GD129"/>
  <c r="GE129"/>
  <c r="GF129"/>
  <c r="GG129"/>
  <c r="GH129"/>
  <c r="GI129"/>
  <c r="GJ129"/>
  <c r="GK129"/>
  <c r="GL129"/>
  <c r="GM129"/>
  <c r="GN129"/>
  <c r="GO129"/>
  <c r="GP129"/>
  <c r="GQ129"/>
  <c r="GR129"/>
  <c r="GS129"/>
  <c r="GT129"/>
  <c r="GU129"/>
  <c r="GV129"/>
  <c r="GW129"/>
  <c r="GX129"/>
  <c r="D131"/>
  <c r="E133"/>
  <c r="Z133"/>
  <c r="AA133"/>
  <c r="AM133"/>
  <c r="AN133"/>
  <c r="BE133"/>
  <c r="BF133"/>
  <c r="BG133"/>
  <c r="BH133"/>
  <c r="BI133"/>
  <c r="BJ133"/>
  <c r="BK133"/>
  <c r="BL133"/>
  <c r="BM133"/>
  <c r="BN133"/>
  <c r="BO133"/>
  <c r="BP133"/>
  <c r="BQ133"/>
  <c r="BR133"/>
  <c r="BS133"/>
  <c r="BT133"/>
  <c r="BU133"/>
  <c r="BV133"/>
  <c r="BW133"/>
  <c r="CN133"/>
  <c r="CO133"/>
  <c r="CP133"/>
  <c r="CQ133"/>
  <c r="CR133"/>
  <c r="CS133"/>
  <c r="CT133"/>
  <c r="CU133"/>
  <c r="CV133"/>
  <c r="CW133"/>
  <c r="CX133"/>
  <c r="CY133"/>
  <c r="CZ133"/>
  <c r="DA133"/>
  <c r="DB133"/>
  <c r="DC133"/>
  <c r="DD133"/>
  <c r="DE133"/>
  <c r="DF133"/>
  <c r="DR133"/>
  <c r="DS133"/>
  <c r="EE133"/>
  <c r="EF133"/>
  <c r="EW133"/>
  <c r="EX133"/>
  <c r="EY133"/>
  <c r="EZ133"/>
  <c r="FA133"/>
  <c r="FB133"/>
  <c r="FC133"/>
  <c r="FD133"/>
  <c r="FE133"/>
  <c r="FF133"/>
  <c r="FG133"/>
  <c r="FH133"/>
  <c r="FI133"/>
  <c r="FJ133"/>
  <c r="FK133"/>
  <c r="FL133"/>
  <c r="FM133"/>
  <c r="FN133"/>
  <c r="FO133"/>
  <c r="GF133"/>
  <c r="GG133"/>
  <c r="GH133"/>
  <c r="GI133"/>
  <c r="GJ133"/>
  <c r="GK133"/>
  <c r="GL133"/>
  <c r="GM133"/>
  <c r="GN133"/>
  <c r="GO133"/>
  <c r="GP133"/>
  <c r="GQ133"/>
  <c r="GR133"/>
  <c r="GS133"/>
  <c r="GT133"/>
  <c r="GU133"/>
  <c r="GV133"/>
  <c r="GW133"/>
  <c r="GX133"/>
  <c r="I136"/>
  <c r="K136"/>
  <c r="R136"/>
  <c r="S136"/>
  <c r="CY136" s="1"/>
  <c r="X136" s="1"/>
  <c r="AC136"/>
  <c r="P136" s="1"/>
  <c r="AE136"/>
  <c r="AD136" s="1"/>
  <c r="AF136"/>
  <c r="AG136"/>
  <c r="CU136" s="1"/>
  <c r="T136" s="1"/>
  <c r="AH136"/>
  <c r="AI136"/>
  <c r="AJ136"/>
  <c r="CR136"/>
  <c r="CS136"/>
  <c r="CT136"/>
  <c r="CV136"/>
  <c r="U136" s="1"/>
  <c r="CW136"/>
  <c r="V136" s="1"/>
  <c r="CX136"/>
  <c r="W136" s="1"/>
  <c r="FR136"/>
  <c r="GK136"/>
  <c r="GL136"/>
  <c r="GO136"/>
  <c r="GP136"/>
  <c r="GV136"/>
  <c r="HC136"/>
  <c r="GX136" s="1"/>
  <c r="I137"/>
  <c r="K137"/>
  <c r="P137"/>
  <c r="R137"/>
  <c r="S137"/>
  <c r="CZ137" s="1"/>
  <c r="Y137" s="1"/>
  <c r="AC137"/>
  <c r="AB137" s="1"/>
  <c r="AD137"/>
  <c r="AE137"/>
  <c r="Q137" s="1"/>
  <c r="AF137"/>
  <c r="AG137"/>
  <c r="AH137"/>
  <c r="CV137" s="1"/>
  <c r="U137" s="1"/>
  <c r="AI137"/>
  <c r="AJ137"/>
  <c r="CQ137"/>
  <c r="CR137"/>
  <c r="CS137"/>
  <c r="CT137"/>
  <c r="CU137"/>
  <c r="T137" s="1"/>
  <c r="CW137"/>
  <c r="V137" s="1"/>
  <c r="CX137"/>
  <c r="W137" s="1"/>
  <c r="CY137"/>
  <c r="X137" s="1"/>
  <c r="FR137"/>
  <c r="GK137"/>
  <c r="GL137"/>
  <c r="GO137"/>
  <c r="GP137"/>
  <c r="GV137"/>
  <c r="HC137"/>
  <c r="GX137" s="1"/>
  <c r="I138"/>
  <c r="P138" s="1"/>
  <c r="K138"/>
  <c r="AC138"/>
  <c r="AE138"/>
  <c r="R138" s="1"/>
  <c r="GK138" s="1"/>
  <c r="AF138"/>
  <c r="AG138"/>
  <c r="AH138"/>
  <c r="AI138"/>
  <c r="CW138" s="1"/>
  <c r="V138" s="1"/>
  <c r="AJ138"/>
  <c r="CQ138"/>
  <c r="CR138"/>
  <c r="CT138"/>
  <c r="CU138"/>
  <c r="T138" s="1"/>
  <c r="CV138"/>
  <c r="U138" s="1"/>
  <c r="CX138"/>
  <c r="W138" s="1"/>
  <c r="FR138"/>
  <c r="GL138"/>
  <c r="GO138"/>
  <c r="GP138"/>
  <c r="GV138"/>
  <c r="HC138" s="1"/>
  <c r="GX138" s="1"/>
  <c r="I139"/>
  <c r="P139" s="1"/>
  <c r="K139"/>
  <c r="R139"/>
  <c r="GK139" s="1"/>
  <c r="V139"/>
  <c r="AC139"/>
  <c r="AE139"/>
  <c r="Q139" s="1"/>
  <c r="AF139"/>
  <c r="AG139"/>
  <c r="AH139"/>
  <c r="AI139"/>
  <c r="AJ139"/>
  <c r="CX139" s="1"/>
  <c r="W139" s="1"/>
  <c r="CQ139"/>
  <c r="CR139"/>
  <c r="CS139"/>
  <c r="CU139"/>
  <c r="T139" s="1"/>
  <c r="CV139"/>
  <c r="U139" s="1"/>
  <c r="CW139"/>
  <c r="FR139"/>
  <c r="GL139"/>
  <c r="GO139"/>
  <c r="GP139"/>
  <c r="GV139"/>
  <c r="HC139" s="1"/>
  <c r="GX139" s="1"/>
  <c r="I140"/>
  <c r="K140"/>
  <c r="R140"/>
  <c r="S140"/>
  <c r="AC140"/>
  <c r="AE140"/>
  <c r="AD140" s="1"/>
  <c r="AF140"/>
  <c r="AG140"/>
  <c r="CU140" s="1"/>
  <c r="T140" s="1"/>
  <c r="AH140"/>
  <c r="AI140"/>
  <c r="AJ140"/>
  <c r="CR140"/>
  <c r="CS140"/>
  <c r="CT140"/>
  <c r="CV140"/>
  <c r="U140" s="1"/>
  <c r="CW140"/>
  <c r="V140" s="1"/>
  <c r="CX140"/>
  <c r="W140" s="1"/>
  <c r="FR140"/>
  <c r="GK140"/>
  <c r="GL140"/>
  <c r="GO140"/>
  <c r="GP140"/>
  <c r="GV140"/>
  <c r="GX140"/>
  <c r="HC140"/>
  <c r="I141"/>
  <c r="K141"/>
  <c r="R141"/>
  <c r="S141"/>
  <c r="CZ141" s="1"/>
  <c r="Y141" s="1"/>
  <c r="AC141"/>
  <c r="AB141" s="1"/>
  <c r="AD141"/>
  <c r="AE141"/>
  <c r="Q141" s="1"/>
  <c r="AF141"/>
  <c r="AG141"/>
  <c r="CU141" s="1"/>
  <c r="T141" s="1"/>
  <c r="AH141"/>
  <c r="CV141" s="1"/>
  <c r="U141" s="1"/>
  <c r="AI141"/>
  <c r="AJ141"/>
  <c r="CR141"/>
  <c r="CS141"/>
  <c r="CT141"/>
  <c r="CW141"/>
  <c r="V141" s="1"/>
  <c r="CX141"/>
  <c r="W141" s="1"/>
  <c r="CY141"/>
  <c r="X141" s="1"/>
  <c r="FR141"/>
  <c r="GK141"/>
  <c r="GL141"/>
  <c r="GO141"/>
  <c r="GP141"/>
  <c r="GV141"/>
  <c r="HC141"/>
  <c r="GX141" s="1"/>
  <c r="I142"/>
  <c r="S142" s="1"/>
  <c r="CY142" s="1"/>
  <c r="X142" s="1"/>
  <c r="K142"/>
  <c r="T142"/>
  <c r="AC142"/>
  <c r="AB142" s="1"/>
  <c r="AD142"/>
  <c r="AE142"/>
  <c r="AF142"/>
  <c r="AG142"/>
  <c r="AH142"/>
  <c r="AI142"/>
  <c r="CW142" s="1"/>
  <c r="AJ142"/>
  <c r="CQ142"/>
  <c r="CR142"/>
  <c r="CT142"/>
  <c r="CU142"/>
  <c r="CV142"/>
  <c r="U142" s="1"/>
  <c r="CX142"/>
  <c r="FR142"/>
  <c r="GL142"/>
  <c r="GO142"/>
  <c r="GP142"/>
  <c r="GV142"/>
  <c r="HC142" s="1"/>
  <c r="I143"/>
  <c r="P143" s="1"/>
  <c r="K143"/>
  <c r="Q143"/>
  <c r="R143"/>
  <c r="GK143" s="1"/>
  <c r="AC143"/>
  <c r="AE143"/>
  <c r="AD143" s="1"/>
  <c r="AF143"/>
  <c r="AG143"/>
  <c r="AH143"/>
  <c r="AI143"/>
  <c r="CW143" s="1"/>
  <c r="V143" s="1"/>
  <c r="AJ143"/>
  <c r="CX143" s="1"/>
  <c r="W143" s="1"/>
  <c r="CQ143"/>
  <c r="CS143"/>
  <c r="CU143"/>
  <c r="T143" s="1"/>
  <c r="CV143"/>
  <c r="U143" s="1"/>
  <c r="FR143"/>
  <c r="GL143"/>
  <c r="GO143"/>
  <c r="GP143"/>
  <c r="GV143"/>
  <c r="HC143" s="1"/>
  <c r="GX143"/>
  <c r="I145"/>
  <c r="K145"/>
  <c r="R145"/>
  <c r="S145"/>
  <c r="AC145"/>
  <c r="AB145" s="1"/>
  <c r="AE145"/>
  <c r="AD145" s="1"/>
  <c r="AF145"/>
  <c r="AG145"/>
  <c r="CU145" s="1"/>
  <c r="T145" s="1"/>
  <c r="AH145"/>
  <c r="AI145"/>
  <c r="AJ145"/>
  <c r="CR145"/>
  <c r="CS145"/>
  <c r="CT145"/>
  <c r="CV145"/>
  <c r="U145" s="1"/>
  <c r="CW145"/>
  <c r="V145" s="1"/>
  <c r="CX145"/>
  <c r="W145" s="1"/>
  <c r="FR145"/>
  <c r="GK145"/>
  <c r="GL145"/>
  <c r="GO145"/>
  <c r="GP145"/>
  <c r="GV145"/>
  <c r="GX145"/>
  <c r="HC145"/>
  <c r="I146"/>
  <c r="K146"/>
  <c r="R146"/>
  <c r="S146"/>
  <c r="CZ146" s="1"/>
  <c r="Y146" s="1"/>
  <c r="AC146"/>
  <c r="AB146" s="1"/>
  <c r="AD146"/>
  <c r="AE146"/>
  <c r="Q146" s="1"/>
  <c r="AF146"/>
  <c r="AG146"/>
  <c r="CU146" s="1"/>
  <c r="T146" s="1"/>
  <c r="AH146"/>
  <c r="CV146" s="1"/>
  <c r="U146" s="1"/>
  <c r="AI146"/>
  <c r="AJ146"/>
  <c r="CR146"/>
  <c r="CS146"/>
  <c r="CT146"/>
  <c r="CW146"/>
  <c r="V146" s="1"/>
  <c r="CX146"/>
  <c r="W146" s="1"/>
  <c r="CY146"/>
  <c r="X146" s="1"/>
  <c r="FR146"/>
  <c r="GK146"/>
  <c r="GL146"/>
  <c r="GO146"/>
  <c r="GP146"/>
  <c r="GV146"/>
  <c r="HC146"/>
  <c r="GX146" s="1"/>
  <c r="I147"/>
  <c r="P147" s="1"/>
  <c r="AC147"/>
  <c r="AE147"/>
  <c r="AD147" s="1"/>
  <c r="AB147" s="1"/>
  <c r="AF147"/>
  <c r="AG147"/>
  <c r="AH147"/>
  <c r="AI147"/>
  <c r="CW147" s="1"/>
  <c r="V147" s="1"/>
  <c r="AJ147"/>
  <c r="CX147" s="1"/>
  <c r="CQ147"/>
  <c r="CS147"/>
  <c r="CU147"/>
  <c r="CV147"/>
  <c r="FR147"/>
  <c r="GL147"/>
  <c r="GO147"/>
  <c r="GP147"/>
  <c r="GV147"/>
  <c r="HC147" s="1"/>
  <c r="GX147"/>
  <c r="I148"/>
  <c r="Q148" s="1"/>
  <c r="R148"/>
  <c r="GK148" s="1"/>
  <c r="S148"/>
  <c r="CZ148" s="1"/>
  <c r="Y148" s="1"/>
  <c r="W148"/>
  <c r="AC148"/>
  <c r="AB148" s="1"/>
  <c r="AD148"/>
  <c r="AE148"/>
  <c r="AF148"/>
  <c r="AG148"/>
  <c r="AH148"/>
  <c r="CV148" s="1"/>
  <c r="U148" s="1"/>
  <c r="AI148"/>
  <c r="AJ148"/>
  <c r="CQ148"/>
  <c r="CR148"/>
  <c r="CS148"/>
  <c r="CT148"/>
  <c r="CU148"/>
  <c r="T148" s="1"/>
  <c r="CW148"/>
  <c r="V148" s="1"/>
  <c r="CX148"/>
  <c r="FR148"/>
  <c r="GL148"/>
  <c r="GO148"/>
  <c r="GP148"/>
  <c r="GV148"/>
  <c r="HC148"/>
  <c r="GX148" s="1"/>
  <c r="I149"/>
  <c r="P149" s="1"/>
  <c r="R149"/>
  <c r="GK149" s="1"/>
  <c r="T149"/>
  <c r="AC149"/>
  <c r="AD149"/>
  <c r="AB149" s="1"/>
  <c r="AE149"/>
  <c r="AF149"/>
  <c r="AG149"/>
  <c r="AH149"/>
  <c r="AI149"/>
  <c r="AJ149"/>
  <c r="CQ149"/>
  <c r="CR149"/>
  <c r="CS149"/>
  <c r="CT149"/>
  <c r="CU149"/>
  <c r="CV149"/>
  <c r="U149" s="1"/>
  <c r="CW149"/>
  <c r="V149" s="1"/>
  <c r="CX149"/>
  <c r="FR149"/>
  <c r="GL149"/>
  <c r="GO149"/>
  <c r="GP149"/>
  <c r="GV149"/>
  <c r="HC149" s="1"/>
  <c r="GX149" s="1"/>
  <c r="I150"/>
  <c r="Q150" s="1"/>
  <c r="R150"/>
  <c r="S150"/>
  <c r="CZ150" s="1"/>
  <c r="Y150" s="1"/>
  <c r="AC150"/>
  <c r="P150" s="1"/>
  <c r="AD150"/>
  <c r="AE150"/>
  <c r="AF150"/>
  <c r="AG150"/>
  <c r="CU150" s="1"/>
  <c r="T150" s="1"/>
  <c r="AH150"/>
  <c r="CV150" s="1"/>
  <c r="U150" s="1"/>
  <c r="AI150"/>
  <c r="AJ150"/>
  <c r="CR150"/>
  <c r="CS150"/>
  <c r="CT150"/>
  <c r="CW150"/>
  <c r="V150" s="1"/>
  <c r="CX150"/>
  <c r="W150" s="1"/>
  <c r="FR150"/>
  <c r="GK150"/>
  <c r="GL150"/>
  <c r="GO150"/>
  <c r="GP150"/>
  <c r="GV150"/>
  <c r="HC150"/>
  <c r="GX150" s="1"/>
  <c r="I151"/>
  <c r="S151" s="1"/>
  <c r="K151"/>
  <c r="P151"/>
  <c r="AC151"/>
  <c r="AB151" s="1"/>
  <c r="AD151"/>
  <c r="AE151"/>
  <c r="R151" s="1"/>
  <c r="GK151" s="1"/>
  <c r="AF151"/>
  <c r="AG151"/>
  <c r="AH151"/>
  <c r="CV151" s="1"/>
  <c r="U151" s="1"/>
  <c r="AI151"/>
  <c r="CW151" s="1"/>
  <c r="V151" s="1"/>
  <c r="AJ151"/>
  <c r="CQ151"/>
  <c r="CR151"/>
  <c r="CT151"/>
  <c r="CU151"/>
  <c r="T151" s="1"/>
  <c r="CX151"/>
  <c r="W151" s="1"/>
  <c r="FR151"/>
  <c r="GL151"/>
  <c r="GO151"/>
  <c r="GP151"/>
  <c r="GV151"/>
  <c r="HC151" s="1"/>
  <c r="GX151" s="1"/>
  <c r="I152"/>
  <c r="I154" s="1"/>
  <c r="K152"/>
  <c r="AC152"/>
  <c r="AE152"/>
  <c r="R152" s="1"/>
  <c r="GK152" s="1"/>
  <c r="AF152"/>
  <c r="S152" s="1"/>
  <c r="AG152"/>
  <c r="AH152"/>
  <c r="AI152"/>
  <c r="CW152" s="1"/>
  <c r="V152" s="1"/>
  <c r="AJ152"/>
  <c r="CX152" s="1"/>
  <c r="W152" s="1"/>
  <c r="CQ152"/>
  <c r="CR152"/>
  <c r="CU152"/>
  <c r="T152" s="1"/>
  <c r="CV152"/>
  <c r="U152" s="1"/>
  <c r="FR152"/>
  <c r="GL152"/>
  <c r="GO152"/>
  <c r="GP152"/>
  <c r="GV152"/>
  <c r="HC152" s="1"/>
  <c r="GX152" s="1"/>
  <c r="AC153"/>
  <c r="AD153"/>
  <c r="AE153"/>
  <c r="AF153"/>
  <c r="AG153"/>
  <c r="CU153" s="1"/>
  <c r="AH153"/>
  <c r="CV153" s="1"/>
  <c r="AI153"/>
  <c r="AJ153"/>
  <c r="CR153"/>
  <c r="CS153"/>
  <c r="CT153"/>
  <c r="CW153"/>
  <c r="CX153"/>
  <c r="FR153"/>
  <c r="GL153"/>
  <c r="GO153"/>
  <c r="GP153"/>
  <c r="GV153"/>
  <c r="HC153"/>
  <c r="AC154"/>
  <c r="AE154"/>
  <c r="AF154"/>
  <c r="AG154"/>
  <c r="AH154"/>
  <c r="AI154"/>
  <c r="CW154" s="1"/>
  <c r="AJ154"/>
  <c r="CX154" s="1"/>
  <c r="CQ154"/>
  <c r="CR154"/>
  <c r="CU154"/>
  <c r="CV154"/>
  <c r="FR154"/>
  <c r="GL154"/>
  <c r="GO154"/>
  <c r="GP154"/>
  <c r="GV154"/>
  <c r="HC154" s="1"/>
  <c r="GX154" s="1"/>
  <c r="I155"/>
  <c r="K155"/>
  <c r="R155"/>
  <c r="GK155" s="1"/>
  <c r="AC155"/>
  <c r="P155" s="1"/>
  <c r="AE155"/>
  <c r="AD155" s="1"/>
  <c r="AB155" s="1"/>
  <c r="AF155"/>
  <c r="S155" s="1"/>
  <c r="AG155"/>
  <c r="CU155" s="1"/>
  <c r="T155" s="1"/>
  <c r="AH155"/>
  <c r="AI155"/>
  <c r="AJ155"/>
  <c r="CX155" s="1"/>
  <c r="W155" s="1"/>
  <c r="CR155"/>
  <c r="CS155"/>
  <c r="CV155"/>
  <c r="U155" s="1"/>
  <c r="CW155"/>
  <c r="V155" s="1"/>
  <c r="FR155"/>
  <c r="GL155"/>
  <c r="GO155"/>
  <c r="GP155"/>
  <c r="GV155"/>
  <c r="GX155"/>
  <c r="HC155"/>
  <c r="I156"/>
  <c r="K156"/>
  <c r="R156"/>
  <c r="S156"/>
  <c r="CZ156" s="1"/>
  <c r="Y156" s="1"/>
  <c r="AC156"/>
  <c r="P156" s="1"/>
  <c r="AD156"/>
  <c r="AE156"/>
  <c r="Q156" s="1"/>
  <c r="AF156"/>
  <c r="AG156"/>
  <c r="CU156" s="1"/>
  <c r="T156" s="1"/>
  <c r="AH156"/>
  <c r="CV156" s="1"/>
  <c r="U156" s="1"/>
  <c r="AI156"/>
  <c r="AJ156"/>
  <c r="CR156"/>
  <c r="CS156"/>
  <c r="CT156"/>
  <c r="CW156"/>
  <c r="V156" s="1"/>
  <c r="CX156"/>
  <c r="W156" s="1"/>
  <c r="FR156"/>
  <c r="GK156"/>
  <c r="GL156"/>
  <c r="GO156"/>
  <c r="GP156"/>
  <c r="GV156"/>
  <c r="HC156"/>
  <c r="GX156" s="1"/>
  <c r="I157"/>
  <c r="S157" s="1"/>
  <c r="K157"/>
  <c r="P157"/>
  <c r="AC157"/>
  <c r="AB157" s="1"/>
  <c r="AD157"/>
  <c r="AE157"/>
  <c r="R157" s="1"/>
  <c r="GK157" s="1"/>
  <c r="AF157"/>
  <c r="AG157"/>
  <c r="AH157"/>
  <c r="CV157" s="1"/>
  <c r="U157" s="1"/>
  <c r="AI157"/>
  <c r="CW157" s="1"/>
  <c r="V157" s="1"/>
  <c r="AJ157"/>
  <c r="CQ157"/>
  <c r="CR157"/>
  <c r="CT157"/>
  <c r="CU157"/>
  <c r="T157" s="1"/>
  <c r="CX157"/>
  <c r="W157" s="1"/>
  <c r="FR157"/>
  <c r="GL157"/>
  <c r="GO157"/>
  <c r="GP157"/>
  <c r="GV157"/>
  <c r="HC157" s="1"/>
  <c r="GX157" s="1"/>
  <c r="I158"/>
  <c r="I160" s="1"/>
  <c r="K158"/>
  <c r="AC158"/>
  <c r="AE158"/>
  <c r="R158" s="1"/>
  <c r="GK158" s="1"/>
  <c r="AF158"/>
  <c r="S158" s="1"/>
  <c r="AG158"/>
  <c r="AH158"/>
  <c r="AI158"/>
  <c r="CW158" s="1"/>
  <c r="V158" s="1"/>
  <c r="AJ158"/>
  <c r="CX158" s="1"/>
  <c r="W158" s="1"/>
  <c r="CQ158"/>
  <c r="CR158"/>
  <c r="CU158"/>
  <c r="T158" s="1"/>
  <c r="CV158"/>
  <c r="U158" s="1"/>
  <c r="FR158"/>
  <c r="GL158"/>
  <c r="GO158"/>
  <c r="GP158"/>
  <c r="GV158"/>
  <c r="HC158" s="1"/>
  <c r="GX158" s="1"/>
  <c r="AC159"/>
  <c r="AD159"/>
  <c r="AE159"/>
  <c r="AF159"/>
  <c r="AG159"/>
  <c r="CU159" s="1"/>
  <c r="AH159"/>
  <c r="CV159" s="1"/>
  <c r="AI159"/>
  <c r="AJ159"/>
  <c r="CR159"/>
  <c r="CS159"/>
  <c r="CT159"/>
  <c r="CW159"/>
  <c r="CX159"/>
  <c r="FR159"/>
  <c r="GL159"/>
  <c r="GO159"/>
  <c r="GP159"/>
  <c r="GV159"/>
  <c r="HC159"/>
  <c r="AC160"/>
  <c r="AE160"/>
  <c r="AF160"/>
  <c r="AG160"/>
  <c r="AH160"/>
  <c r="AI160"/>
  <c r="CW160" s="1"/>
  <c r="AJ160"/>
  <c r="CX160" s="1"/>
  <c r="CQ160"/>
  <c r="CR160"/>
  <c r="CU160"/>
  <c r="CV160"/>
  <c r="FR160"/>
  <c r="GL160"/>
  <c r="GO160"/>
  <c r="GP160"/>
  <c r="GV160"/>
  <c r="HC160" s="1"/>
  <c r="GX160" s="1"/>
  <c r="I161"/>
  <c r="K161"/>
  <c r="R161"/>
  <c r="GK161" s="1"/>
  <c r="AC161"/>
  <c r="P161" s="1"/>
  <c r="AE161"/>
  <c r="AD161" s="1"/>
  <c r="AB161" s="1"/>
  <c r="AF161"/>
  <c r="S161" s="1"/>
  <c r="AG161"/>
  <c r="CU161" s="1"/>
  <c r="T161" s="1"/>
  <c r="AH161"/>
  <c r="AI161"/>
  <c r="AJ161"/>
  <c r="CX161" s="1"/>
  <c r="W161" s="1"/>
  <c r="CR161"/>
  <c r="CS161"/>
  <c r="CV161"/>
  <c r="U161" s="1"/>
  <c r="CW161"/>
  <c r="V161" s="1"/>
  <c r="FR161"/>
  <c r="GL161"/>
  <c r="GO161"/>
  <c r="GP161"/>
  <c r="GV161"/>
  <c r="GX161"/>
  <c r="HC161"/>
  <c r="I162"/>
  <c r="K162"/>
  <c r="R162"/>
  <c r="S162"/>
  <c r="CZ162" s="1"/>
  <c r="Y162" s="1"/>
  <c r="AC162"/>
  <c r="P162" s="1"/>
  <c r="AD162"/>
  <c r="AE162"/>
  <c r="Q162" s="1"/>
  <c r="AF162"/>
  <c r="AG162"/>
  <c r="CU162" s="1"/>
  <c r="T162" s="1"/>
  <c r="AH162"/>
  <c r="CV162" s="1"/>
  <c r="U162" s="1"/>
  <c r="AI162"/>
  <c r="AJ162"/>
  <c r="CR162"/>
  <c r="CS162"/>
  <c r="CT162"/>
  <c r="CW162"/>
  <c r="V162" s="1"/>
  <c r="CX162"/>
  <c r="W162" s="1"/>
  <c r="FR162"/>
  <c r="GK162"/>
  <c r="GL162"/>
  <c r="GO162"/>
  <c r="GP162"/>
  <c r="GV162"/>
  <c r="HC162"/>
  <c r="GX162" s="1"/>
  <c r="I163"/>
  <c r="P163" s="1"/>
  <c r="AC163"/>
  <c r="AE163"/>
  <c r="R163" s="1"/>
  <c r="GK163" s="1"/>
  <c r="AF163"/>
  <c r="S163" s="1"/>
  <c r="AG163"/>
  <c r="AH163"/>
  <c r="AI163"/>
  <c r="CW163" s="1"/>
  <c r="V163" s="1"/>
  <c r="AJ163"/>
  <c r="CX163" s="1"/>
  <c r="W163" s="1"/>
  <c r="CQ163"/>
  <c r="CR163"/>
  <c r="CU163"/>
  <c r="T163" s="1"/>
  <c r="CV163"/>
  <c r="U163" s="1"/>
  <c r="FR163"/>
  <c r="GL163"/>
  <c r="GO163"/>
  <c r="GP163"/>
  <c r="GV163"/>
  <c r="HC163" s="1"/>
  <c r="GX163" s="1"/>
  <c r="I164"/>
  <c r="Q164" s="1"/>
  <c r="R164"/>
  <c r="S164"/>
  <c r="CZ164" s="1"/>
  <c r="Y164" s="1"/>
  <c r="AC164"/>
  <c r="P164" s="1"/>
  <c r="AD164"/>
  <c r="AE164"/>
  <c r="AF164"/>
  <c r="AG164"/>
  <c r="CU164" s="1"/>
  <c r="T164" s="1"/>
  <c r="AH164"/>
  <c r="CV164" s="1"/>
  <c r="U164" s="1"/>
  <c r="AI164"/>
  <c r="AJ164"/>
  <c r="CR164"/>
  <c r="CS164"/>
  <c r="CT164"/>
  <c r="CW164"/>
  <c r="V164" s="1"/>
  <c r="CX164"/>
  <c r="W164" s="1"/>
  <c r="FR164"/>
  <c r="GK164"/>
  <c r="GL164"/>
  <c r="GO164"/>
  <c r="GP164"/>
  <c r="GV164"/>
  <c r="HC164"/>
  <c r="GX164" s="1"/>
  <c r="I165"/>
  <c r="P165" s="1"/>
  <c r="AC165"/>
  <c r="AE165"/>
  <c r="R165" s="1"/>
  <c r="GK165" s="1"/>
  <c r="AF165"/>
  <c r="S165" s="1"/>
  <c r="AG165"/>
  <c r="AH165"/>
  <c r="AI165"/>
  <c r="CW165" s="1"/>
  <c r="V165" s="1"/>
  <c r="AJ165"/>
  <c r="CX165" s="1"/>
  <c r="W165" s="1"/>
  <c r="CQ165"/>
  <c r="CR165"/>
  <c r="CU165"/>
  <c r="T165" s="1"/>
  <c r="CV165"/>
  <c r="U165" s="1"/>
  <c r="FR165"/>
  <c r="GL165"/>
  <c r="GO165"/>
  <c r="GP165"/>
  <c r="GV165"/>
  <c r="HC165" s="1"/>
  <c r="GX165" s="1"/>
  <c r="I166"/>
  <c r="Q166" s="1"/>
  <c r="R166"/>
  <c r="S166"/>
  <c r="CZ166" s="1"/>
  <c r="Y166" s="1"/>
  <c r="AC166"/>
  <c r="P166" s="1"/>
  <c r="AD166"/>
  <c r="AE166"/>
  <c r="AF166"/>
  <c r="AG166"/>
  <c r="CU166" s="1"/>
  <c r="T166" s="1"/>
  <c r="AH166"/>
  <c r="CV166" s="1"/>
  <c r="U166" s="1"/>
  <c r="AI166"/>
  <c r="AJ166"/>
  <c r="CR166"/>
  <c r="CS166"/>
  <c r="CT166"/>
  <c r="CW166"/>
  <c r="V166" s="1"/>
  <c r="CX166"/>
  <c r="W166" s="1"/>
  <c r="FR166"/>
  <c r="GK166"/>
  <c r="GL166"/>
  <c r="GO166"/>
  <c r="GP166"/>
  <c r="GV166"/>
  <c r="HC166"/>
  <c r="GX166" s="1"/>
  <c r="I167"/>
  <c r="S167" s="1"/>
  <c r="K167"/>
  <c r="P167"/>
  <c r="AC167"/>
  <c r="AB167" s="1"/>
  <c r="AD167"/>
  <c r="AE167"/>
  <c r="R167" s="1"/>
  <c r="GK167" s="1"/>
  <c r="AF167"/>
  <c r="AG167"/>
  <c r="AH167"/>
  <c r="CV167" s="1"/>
  <c r="U167" s="1"/>
  <c r="AI167"/>
  <c r="CW167" s="1"/>
  <c r="V167" s="1"/>
  <c r="AJ167"/>
  <c r="CQ167"/>
  <c r="CR167"/>
  <c r="CT167"/>
  <c r="CU167"/>
  <c r="T167" s="1"/>
  <c r="CX167"/>
  <c r="W167" s="1"/>
  <c r="FR167"/>
  <c r="GL167"/>
  <c r="GO167"/>
  <c r="GP167"/>
  <c r="GV167"/>
  <c r="HC167" s="1"/>
  <c r="GX167" s="1"/>
  <c r="I168"/>
  <c r="I170" s="1"/>
  <c r="K168"/>
  <c r="AC168"/>
  <c r="AE168"/>
  <c r="R168" s="1"/>
  <c r="GK168" s="1"/>
  <c r="AF168"/>
  <c r="S168" s="1"/>
  <c r="AG168"/>
  <c r="AH168"/>
  <c r="AI168"/>
  <c r="CW168" s="1"/>
  <c r="V168" s="1"/>
  <c r="AJ168"/>
  <c r="CX168" s="1"/>
  <c r="W168" s="1"/>
  <c r="CQ168"/>
  <c r="CR168"/>
  <c r="CU168"/>
  <c r="T168" s="1"/>
  <c r="CV168"/>
  <c r="U168" s="1"/>
  <c r="FR168"/>
  <c r="GL168"/>
  <c r="GO168"/>
  <c r="GP168"/>
  <c r="GV168"/>
  <c r="HC168" s="1"/>
  <c r="GX168" s="1"/>
  <c r="I169"/>
  <c r="Q169" s="1"/>
  <c r="R169"/>
  <c r="S169"/>
  <c r="CZ169" s="1"/>
  <c r="Y169" s="1"/>
  <c r="AC169"/>
  <c r="P169" s="1"/>
  <c r="AD169"/>
  <c r="AE169"/>
  <c r="AF169"/>
  <c r="AG169"/>
  <c r="CU169" s="1"/>
  <c r="T169" s="1"/>
  <c r="AH169"/>
  <c r="CV169" s="1"/>
  <c r="U169" s="1"/>
  <c r="AI169"/>
  <c r="AJ169"/>
  <c r="CR169"/>
  <c r="CS169"/>
  <c r="CT169"/>
  <c r="CW169"/>
  <c r="V169" s="1"/>
  <c r="CX169"/>
  <c r="W169" s="1"/>
  <c r="FR169"/>
  <c r="GK169"/>
  <c r="GL169"/>
  <c r="GO169"/>
  <c r="GP169"/>
  <c r="GV169"/>
  <c r="HC169"/>
  <c r="GX169" s="1"/>
  <c r="AC170"/>
  <c r="AE170"/>
  <c r="R170" s="1"/>
  <c r="GK170" s="1"/>
  <c r="AF170"/>
  <c r="S170" s="1"/>
  <c r="CY170" s="1"/>
  <c r="X170" s="1"/>
  <c r="AG170"/>
  <c r="AH170"/>
  <c r="AI170"/>
  <c r="CW170" s="1"/>
  <c r="V170" s="1"/>
  <c r="AJ170"/>
  <c r="CX170" s="1"/>
  <c r="W170" s="1"/>
  <c r="CQ170"/>
  <c r="CR170"/>
  <c r="CU170"/>
  <c r="T170" s="1"/>
  <c r="CV170"/>
  <c r="U170" s="1"/>
  <c r="CZ170"/>
  <c r="Y170" s="1"/>
  <c r="FR170"/>
  <c r="GL170"/>
  <c r="GO170"/>
  <c r="GP170"/>
  <c r="GV170"/>
  <c r="HC170" s="1"/>
  <c r="GX170" s="1"/>
  <c r="I171"/>
  <c r="K171"/>
  <c r="R171"/>
  <c r="GK171" s="1"/>
  <c r="AC171"/>
  <c r="P171" s="1"/>
  <c r="AE171"/>
  <c r="AD171" s="1"/>
  <c r="AB171" s="1"/>
  <c r="AF171"/>
  <c r="AG171"/>
  <c r="CU171" s="1"/>
  <c r="T171" s="1"/>
  <c r="AH171"/>
  <c r="AI171"/>
  <c r="AJ171"/>
  <c r="CX171" s="1"/>
  <c r="W171" s="1"/>
  <c r="CR171"/>
  <c r="CS171"/>
  <c r="CV171"/>
  <c r="U171" s="1"/>
  <c r="CW171"/>
  <c r="V171" s="1"/>
  <c r="FR171"/>
  <c r="GL171"/>
  <c r="GO171"/>
  <c r="GP171"/>
  <c r="GV171"/>
  <c r="GX171"/>
  <c r="HC171"/>
  <c r="I172"/>
  <c r="K172"/>
  <c r="R172"/>
  <c r="S172"/>
  <c r="AC172"/>
  <c r="AD172"/>
  <c r="AE172"/>
  <c r="Q172" s="1"/>
  <c r="AF172"/>
  <c r="AG172"/>
  <c r="CU172" s="1"/>
  <c r="T172" s="1"/>
  <c r="AH172"/>
  <c r="CV172" s="1"/>
  <c r="U172" s="1"/>
  <c r="AI172"/>
  <c r="AJ172"/>
  <c r="CR172"/>
  <c r="CS172"/>
  <c r="CT172"/>
  <c r="CW172"/>
  <c r="V172" s="1"/>
  <c r="CX172"/>
  <c r="W172" s="1"/>
  <c r="FR172"/>
  <c r="GK172"/>
  <c r="GL172"/>
  <c r="GO172"/>
  <c r="GP172"/>
  <c r="GV172"/>
  <c r="HC172"/>
  <c r="GX172" s="1"/>
  <c r="I173"/>
  <c r="P173" s="1"/>
  <c r="AC173"/>
  <c r="AE173"/>
  <c r="AF173"/>
  <c r="S173" s="1"/>
  <c r="CY173" s="1"/>
  <c r="X173" s="1"/>
  <c r="AG173"/>
  <c r="AH173"/>
  <c r="AI173"/>
  <c r="CW173" s="1"/>
  <c r="V173" s="1"/>
  <c r="AJ173"/>
  <c r="CX173" s="1"/>
  <c r="W173" s="1"/>
  <c r="CQ173"/>
  <c r="CR173"/>
  <c r="CU173"/>
  <c r="T173" s="1"/>
  <c r="CV173"/>
  <c r="U173" s="1"/>
  <c r="CZ173"/>
  <c r="Y173" s="1"/>
  <c r="FR173"/>
  <c r="GL173"/>
  <c r="GO173"/>
  <c r="GP173"/>
  <c r="GV173"/>
  <c r="HC173" s="1"/>
  <c r="GX173" s="1"/>
  <c r="I174"/>
  <c r="Q174" s="1"/>
  <c r="R174"/>
  <c r="S174"/>
  <c r="AC174"/>
  <c r="AD174"/>
  <c r="AE174"/>
  <c r="AF174"/>
  <c r="AG174"/>
  <c r="CU174" s="1"/>
  <c r="T174" s="1"/>
  <c r="AH174"/>
  <c r="CV174" s="1"/>
  <c r="U174" s="1"/>
  <c r="AI174"/>
  <c r="AJ174"/>
  <c r="CR174"/>
  <c r="CS174"/>
  <c r="CT174"/>
  <c r="CW174"/>
  <c r="V174" s="1"/>
  <c r="CX174"/>
  <c r="W174" s="1"/>
  <c r="FR174"/>
  <c r="GK174"/>
  <c r="GL174"/>
  <c r="GO174"/>
  <c r="GP174"/>
  <c r="GV174"/>
  <c r="HC174"/>
  <c r="GX174" s="1"/>
  <c r="I175"/>
  <c r="K175"/>
  <c r="P175"/>
  <c r="S175"/>
  <c r="T175"/>
  <c r="AC175"/>
  <c r="AD175"/>
  <c r="AE175"/>
  <c r="R175" s="1"/>
  <c r="GK175" s="1"/>
  <c r="AF175"/>
  <c r="AG175"/>
  <c r="AH175"/>
  <c r="CV175" s="1"/>
  <c r="U175" s="1"/>
  <c r="AI175"/>
  <c r="CW175" s="1"/>
  <c r="V175" s="1"/>
  <c r="AJ175"/>
  <c r="CQ175"/>
  <c r="CR175"/>
  <c r="CT175"/>
  <c r="CU175"/>
  <c r="CX175"/>
  <c r="W175" s="1"/>
  <c r="CY175"/>
  <c r="X175" s="1"/>
  <c r="CZ175"/>
  <c r="Y175" s="1"/>
  <c r="FR175"/>
  <c r="GL175"/>
  <c r="GO175"/>
  <c r="GP175"/>
  <c r="GV175"/>
  <c r="HC175"/>
  <c r="GX175" s="1"/>
  <c r="I176"/>
  <c r="K176"/>
  <c r="AC176"/>
  <c r="AE176"/>
  <c r="AF176"/>
  <c r="AG176"/>
  <c r="AH176"/>
  <c r="AI176"/>
  <c r="CW176" s="1"/>
  <c r="AJ176"/>
  <c r="CX176" s="1"/>
  <c r="CQ176"/>
  <c r="CR176"/>
  <c r="CU176"/>
  <c r="CV176"/>
  <c r="U176" s="1"/>
  <c r="FR176"/>
  <c r="GL176"/>
  <c r="GO176"/>
  <c r="GP176"/>
  <c r="GV176"/>
  <c r="HC176" s="1"/>
  <c r="I177"/>
  <c r="Q177" s="1"/>
  <c r="R177"/>
  <c r="S177"/>
  <c r="AC177"/>
  <c r="AD177"/>
  <c r="AE177"/>
  <c r="AF177"/>
  <c r="AG177"/>
  <c r="CU177" s="1"/>
  <c r="T177" s="1"/>
  <c r="AH177"/>
  <c r="CV177" s="1"/>
  <c r="U177" s="1"/>
  <c r="AI177"/>
  <c r="AJ177"/>
  <c r="CR177"/>
  <c r="CS177"/>
  <c r="CT177"/>
  <c r="CW177"/>
  <c r="V177" s="1"/>
  <c r="CX177"/>
  <c r="W177" s="1"/>
  <c r="FR177"/>
  <c r="GK177"/>
  <c r="GL177"/>
  <c r="GO177"/>
  <c r="GP177"/>
  <c r="GV177"/>
  <c r="HC177"/>
  <c r="GX177" s="1"/>
  <c r="AC178"/>
  <c r="AE178"/>
  <c r="CR178" s="1"/>
  <c r="AF178"/>
  <c r="AG178"/>
  <c r="AH178"/>
  <c r="AI178"/>
  <c r="CW178" s="1"/>
  <c r="AJ178"/>
  <c r="CX178" s="1"/>
  <c r="CQ178"/>
  <c r="CU178"/>
  <c r="CV178"/>
  <c r="FR178"/>
  <c r="GL178"/>
  <c r="GO178"/>
  <c r="GP178"/>
  <c r="GV178"/>
  <c r="HC178" s="1"/>
  <c r="I179"/>
  <c r="K183" s="1"/>
  <c r="K179"/>
  <c r="R179"/>
  <c r="GK179" s="1"/>
  <c r="AC179"/>
  <c r="P179" s="1"/>
  <c r="AE179"/>
  <c r="AD179" s="1"/>
  <c r="AB179" s="1"/>
  <c r="AF179"/>
  <c r="AG179"/>
  <c r="CU179" s="1"/>
  <c r="T179" s="1"/>
  <c r="AH179"/>
  <c r="AI179"/>
  <c r="AJ179"/>
  <c r="CX179" s="1"/>
  <c r="W179" s="1"/>
  <c r="CR179"/>
  <c r="CS179"/>
  <c r="CV179"/>
  <c r="U179" s="1"/>
  <c r="CW179"/>
  <c r="V179" s="1"/>
  <c r="FR179"/>
  <c r="GL179"/>
  <c r="GO179"/>
  <c r="GP179"/>
  <c r="GV179"/>
  <c r="HC179" s="1"/>
  <c r="GX179"/>
  <c r="I180"/>
  <c r="K180"/>
  <c r="R180"/>
  <c r="S180"/>
  <c r="AC180"/>
  <c r="AD180"/>
  <c r="AE180"/>
  <c r="Q180" s="1"/>
  <c r="AF180"/>
  <c r="AG180"/>
  <c r="CU180" s="1"/>
  <c r="T180" s="1"/>
  <c r="AH180"/>
  <c r="CV180" s="1"/>
  <c r="U180" s="1"/>
  <c r="AI180"/>
  <c r="AJ180"/>
  <c r="CR180"/>
  <c r="CS180"/>
  <c r="CT180"/>
  <c r="CW180"/>
  <c r="V180" s="1"/>
  <c r="CX180"/>
  <c r="W180" s="1"/>
  <c r="FR180"/>
  <c r="GK180"/>
  <c r="GL180"/>
  <c r="GO180"/>
  <c r="GP180"/>
  <c r="GV180"/>
  <c r="HC180"/>
  <c r="GX180" s="1"/>
  <c r="I181"/>
  <c r="P181"/>
  <c r="AC181"/>
  <c r="AE181"/>
  <c r="AF181"/>
  <c r="S181" s="1"/>
  <c r="CY181" s="1"/>
  <c r="X181" s="1"/>
  <c r="AG181"/>
  <c r="AH181"/>
  <c r="AI181"/>
  <c r="CW181" s="1"/>
  <c r="V181" s="1"/>
  <c r="AJ181"/>
  <c r="CX181" s="1"/>
  <c r="W181" s="1"/>
  <c r="CQ181"/>
  <c r="CR181"/>
  <c r="CU181"/>
  <c r="T181" s="1"/>
  <c r="CV181"/>
  <c r="U181" s="1"/>
  <c r="CZ181"/>
  <c r="Y181" s="1"/>
  <c r="FR181"/>
  <c r="GL181"/>
  <c r="GO181"/>
  <c r="GP181"/>
  <c r="GV181"/>
  <c r="HC181" s="1"/>
  <c r="GX181" s="1"/>
  <c r="I182"/>
  <c r="Q182" s="1"/>
  <c r="R182"/>
  <c r="V182"/>
  <c r="AC182"/>
  <c r="AD182"/>
  <c r="AE182"/>
  <c r="AF182"/>
  <c r="S182" s="1"/>
  <c r="AG182"/>
  <c r="CU182" s="1"/>
  <c r="AH182"/>
  <c r="CV182" s="1"/>
  <c r="U182" s="1"/>
  <c r="AI182"/>
  <c r="AJ182"/>
  <c r="CX182" s="1"/>
  <c r="W182" s="1"/>
  <c r="CR182"/>
  <c r="CS182"/>
  <c r="CT182"/>
  <c r="CW182"/>
  <c r="FR182"/>
  <c r="GK182"/>
  <c r="GL182"/>
  <c r="GO182"/>
  <c r="GP182"/>
  <c r="GV182"/>
  <c r="HC182"/>
  <c r="GX182" s="1"/>
  <c r="I183"/>
  <c r="S183"/>
  <c r="CZ183" s="1"/>
  <c r="Y183" s="1"/>
  <c r="T183"/>
  <c r="AC183"/>
  <c r="P183" s="1"/>
  <c r="AD183"/>
  <c r="AE183"/>
  <c r="R183" s="1"/>
  <c r="AF183"/>
  <c r="AG183"/>
  <c r="AH183"/>
  <c r="CV183" s="1"/>
  <c r="U183" s="1"/>
  <c r="AI183"/>
  <c r="CW183" s="1"/>
  <c r="V183" s="1"/>
  <c r="AJ183"/>
  <c r="CQ183"/>
  <c r="CR183"/>
  <c r="CT183"/>
  <c r="CU183"/>
  <c r="CX183"/>
  <c r="W183" s="1"/>
  <c r="FR183"/>
  <c r="GK183"/>
  <c r="GL183"/>
  <c r="GO183"/>
  <c r="GP183"/>
  <c r="GV183"/>
  <c r="HC183"/>
  <c r="GX183" s="1"/>
  <c r="I184"/>
  <c r="K184"/>
  <c r="P184"/>
  <c r="Q184"/>
  <c r="AC184"/>
  <c r="AE184"/>
  <c r="R184" s="1"/>
  <c r="GK184" s="1"/>
  <c r="AF184"/>
  <c r="AG184"/>
  <c r="AH184"/>
  <c r="AI184"/>
  <c r="CW184" s="1"/>
  <c r="V184" s="1"/>
  <c r="AJ184"/>
  <c r="CX184" s="1"/>
  <c r="W184" s="1"/>
  <c r="CQ184"/>
  <c r="CS184"/>
  <c r="CU184"/>
  <c r="T184" s="1"/>
  <c r="CV184"/>
  <c r="U184" s="1"/>
  <c r="FR184"/>
  <c r="GL184"/>
  <c r="GO184"/>
  <c r="GP184"/>
  <c r="GV184"/>
  <c r="HC184" s="1"/>
  <c r="GX184"/>
  <c r="I185"/>
  <c r="Q185" s="1"/>
  <c r="S185"/>
  <c r="CZ185" s="1"/>
  <c r="Y185" s="1"/>
  <c r="AC185"/>
  <c r="AB185" s="1"/>
  <c r="AD185"/>
  <c r="AE185"/>
  <c r="AF185"/>
  <c r="AG185"/>
  <c r="AH185"/>
  <c r="CV185" s="1"/>
  <c r="AI185"/>
  <c r="AJ185"/>
  <c r="CQ185"/>
  <c r="CR185"/>
  <c r="CS185"/>
  <c r="CT185"/>
  <c r="CU185"/>
  <c r="T185" s="1"/>
  <c r="CW185"/>
  <c r="V185" s="1"/>
  <c r="CX185"/>
  <c r="FR185"/>
  <c r="GL185"/>
  <c r="GO185"/>
  <c r="GP185"/>
  <c r="GV185"/>
  <c r="HC185"/>
  <c r="GX185" s="1"/>
  <c r="I186"/>
  <c r="P186" s="1"/>
  <c r="T186"/>
  <c r="AC186"/>
  <c r="AE186"/>
  <c r="R186" s="1"/>
  <c r="GK186" s="1"/>
  <c r="AF186"/>
  <c r="AG186"/>
  <c r="AH186"/>
  <c r="CV186" s="1"/>
  <c r="U186" s="1"/>
  <c r="AI186"/>
  <c r="CW186" s="1"/>
  <c r="V186" s="1"/>
  <c r="AJ186"/>
  <c r="CX186" s="1"/>
  <c r="CQ186"/>
  <c r="CS186"/>
  <c r="CU186"/>
  <c r="FR186"/>
  <c r="GL186"/>
  <c r="GO186"/>
  <c r="GP186"/>
  <c r="GV186"/>
  <c r="HC186" s="1"/>
  <c r="GX186" s="1"/>
  <c r="I187"/>
  <c r="K191" s="1"/>
  <c r="K187"/>
  <c r="AB187"/>
  <c r="AC187"/>
  <c r="AE187"/>
  <c r="AD187" s="1"/>
  <c r="AF187"/>
  <c r="S187" s="1"/>
  <c r="AG187"/>
  <c r="CU187" s="1"/>
  <c r="T187" s="1"/>
  <c r="AH187"/>
  <c r="AI187"/>
  <c r="CW187" s="1"/>
  <c r="V187" s="1"/>
  <c r="AJ187"/>
  <c r="CX187" s="1"/>
  <c r="W187" s="1"/>
  <c r="CS187"/>
  <c r="CT187"/>
  <c r="CV187"/>
  <c r="U187" s="1"/>
  <c r="FR187"/>
  <c r="GL187"/>
  <c r="GO187"/>
  <c r="GP187"/>
  <c r="GV187"/>
  <c r="HC187" s="1"/>
  <c r="GX187" s="1"/>
  <c r="I188"/>
  <c r="K188"/>
  <c r="R188"/>
  <c r="T188"/>
  <c r="AC188"/>
  <c r="P188" s="1"/>
  <c r="AD188"/>
  <c r="AE188"/>
  <c r="Q188" s="1"/>
  <c r="AF188"/>
  <c r="CT188" s="1"/>
  <c r="AG188"/>
  <c r="AH188"/>
  <c r="CV188" s="1"/>
  <c r="U188" s="1"/>
  <c r="AI188"/>
  <c r="AJ188"/>
  <c r="CQ188"/>
  <c r="CR188"/>
  <c r="CS188"/>
  <c r="CU188"/>
  <c r="CW188"/>
  <c r="V188" s="1"/>
  <c r="CX188"/>
  <c r="W188" s="1"/>
  <c r="FR188"/>
  <c r="GK188"/>
  <c r="GL188"/>
  <c r="GO188"/>
  <c r="GP188"/>
  <c r="GV188"/>
  <c r="HC188"/>
  <c r="GX188" s="1"/>
  <c r="I189"/>
  <c r="Q189" s="1"/>
  <c r="P189"/>
  <c r="AC189"/>
  <c r="AE189"/>
  <c r="R189" s="1"/>
  <c r="GK189" s="1"/>
  <c r="AF189"/>
  <c r="AG189"/>
  <c r="AH189"/>
  <c r="CV189" s="1"/>
  <c r="U189" s="1"/>
  <c r="AI189"/>
  <c r="CW189" s="1"/>
  <c r="V189" s="1"/>
  <c r="AJ189"/>
  <c r="CX189" s="1"/>
  <c r="W189" s="1"/>
  <c r="CQ189"/>
  <c r="CS189"/>
  <c r="CU189"/>
  <c r="T189" s="1"/>
  <c r="FR189"/>
  <c r="GL189"/>
  <c r="GO189"/>
  <c r="GP189"/>
  <c r="GV189"/>
  <c r="HC189" s="1"/>
  <c r="GX189"/>
  <c r="I190"/>
  <c r="Q190" s="1"/>
  <c r="R190"/>
  <c r="GK190" s="1"/>
  <c r="V190"/>
  <c r="W190"/>
  <c r="AC190"/>
  <c r="P190" s="1"/>
  <c r="CP190" s="1"/>
  <c r="O190" s="1"/>
  <c r="AD190"/>
  <c r="AE190"/>
  <c r="AF190"/>
  <c r="S190" s="1"/>
  <c r="AG190"/>
  <c r="AH190"/>
  <c r="CV190" s="1"/>
  <c r="U190" s="1"/>
  <c r="AI190"/>
  <c r="AJ190"/>
  <c r="CQ190"/>
  <c r="CR190"/>
  <c r="CS190"/>
  <c r="CT190"/>
  <c r="CU190"/>
  <c r="T190" s="1"/>
  <c r="CW190"/>
  <c r="CX190"/>
  <c r="FR190"/>
  <c r="GL190"/>
  <c r="GO190"/>
  <c r="GP190"/>
  <c r="GV190"/>
  <c r="HC190"/>
  <c r="GX190" s="1"/>
  <c r="I191"/>
  <c r="Q191"/>
  <c r="W191"/>
  <c r="AC191"/>
  <c r="AD191"/>
  <c r="AE191"/>
  <c r="R191" s="1"/>
  <c r="AF191"/>
  <c r="S191" s="1"/>
  <c r="AG191"/>
  <c r="AH191"/>
  <c r="CV191" s="1"/>
  <c r="U191" s="1"/>
  <c r="AI191"/>
  <c r="AJ191"/>
  <c r="CQ191"/>
  <c r="CR191"/>
  <c r="CS191"/>
  <c r="CT191"/>
  <c r="CU191"/>
  <c r="T191" s="1"/>
  <c r="CW191"/>
  <c r="V191" s="1"/>
  <c r="CX191"/>
  <c r="FR191"/>
  <c r="GK191"/>
  <c r="GL191"/>
  <c r="GO191"/>
  <c r="GP191"/>
  <c r="GV191"/>
  <c r="HC191"/>
  <c r="GX191" s="1"/>
  <c r="I192"/>
  <c r="I194" s="1"/>
  <c r="K192"/>
  <c r="AC192"/>
  <c r="AE192"/>
  <c r="R192" s="1"/>
  <c r="GK192" s="1"/>
  <c r="AF192"/>
  <c r="AG192"/>
  <c r="AH192"/>
  <c r="AI192"/>
  <c r="CW192" s="1"/>
  <c r="V192" s="1"/>
  <c r="AJ192"/>
  <c r="CQ192"/>
  <c r="CR192"/>
  <c r="CT192"/>
  <c r="CU192"/>
  <c r="T192" s="1"/>
  <c r="CV192"/>
  <c r="U192" s="1"/>
  <c r="CX192"/>
  <c r="W192" s="1"/>
  <c r="FR192"/>
  <c r="GL192"/>
  <c r="GO192"/>
  <c r="GP192"/>
  <c r="GV192"/>
  <c r="HC192" s="1"/>
  <c r="GX192" s="1"/>
  <c r="I193"/>
  <c r="Q193" s="1"/>
  <c r="R193"/>
  <c r="S193"/>
  <c r="CY193" s="1"/>
  <c r="X193" s="1"/>
  <c r="AC193"/>
  <c r="P193" s="1"/>
  <c r="AE193"/>
  <c r="AD193" s="1"/>
  <c r="AF193"/>
  <c r="AG193"/>
  <c r="CU193" s="1"/>
  <c r="T193" s="1"/>
  <c r="AH193"/>
  <c r="AI193"/>
  <c r="AJ193"/>
  <c r="CR193"/>
  <c r="CS193"/>
  <c r="CT193"/>
  <c r="CV193"/>
  <c r="U193" s="1"/>
  <c r="CW193"/>
  <c r="V193" s="1"/>
  <c r="CX193"/>
  <c r="W193" s="1"/>
  <c r="FR193"/>
  <c r="GK193"/>
  <c r="GL193"/>
  <c r="GO193"/>
  <c r="GP193"/>
  <c r="GV193"/>
  <c r="HC193"/>
  <c r="GX193" s="1"/>
  <c r="AC194"/>
  <c r="AE194"/>
  <c r="R194" s="1"/>
  <c r="GK194" s="1"/>
  <c r="AF194"/>
  <c r="AG194"/>
  <c r="AH194"/>
  <c r="AI194"/>
  <c r="CW194" s="1"/>
  <c r="V194" s="1"/>
  <c r="AJ194"/>
  <c r="CQ194"/>
  <c r="CR194"/>
  <c r="CT194"/>
  <c r="CU194"/>
  <c r="CV194"/>
  <c r="CX194"/>
  <c r="FR194"/>
  <c r="GL194"/>
  <c r="GO194"/>
  <c r="GP194"/>
  <c r="GV194"/>
  <c r="HC194" s="1"/>
  <c r="GX194" s="1"/>
  <c r="I196"/>
  <c r="P196" s="1"/>
  <c r="K196"/>
  <c r="R196"/>
  <c r="GK196" s="1"/>
  <c r="AC196"/>
  <c r="AE196"/>
  <c r="Q196" s="1"/>
  <c r="AF196"/>
  <c r="S196" s="1"/>
  <c r="AG196"/>
  <c r="AH196"/>
  <c r="AI196"/>
  <c r="AJ196"/>
  <c r="CX196" s="1"/>
  <c r="W196" s="1"/>
  <c r="CQ196"/>
  <c r="CR196"/>
  <c r="CS196"/>
  <c r="CU196"/>
  <c r="T196" s="1"/>
  <c r="CV196"/>
  <c r="U196" s="1"/>
  <c r="CW196"/>
  <c r="V196" s="1"/>
  <c r="FR196"/>
  <c r="GL196"/>
  <c r="GO196"/>
  <c r="GP196"/>
  <c r="GV196"/>
  <c r="HC196" s="1"/>
  <c r="GX196" s="1"/>
  <c r="I197"/>
  <c r="K197"/>
  <c r="R197"/>
  <c r="S197"/>
  <c r="CY197" s="1"/>
  <c r="X197" s="1"/>
  <c r="AC197"/>
  <c r="P197" s="1"/>
  <c r="AE197"/>
  <c r="AD197" s="1"/>
  <c r="AF197"/>
  <c r="AG197"/>
  <c r="CU197" s="1"/>
  <c r="T197" s="1"/>
  <c r="AH197"/>
  <c r="AI197"/>
  <c r="AJ197"/>
  <c r="CR197"/>
  <c r="CS197"/>
  <c r="CT197"/>
  <c r="CV197"/>
  <c r="U197" s="1"/>
  <c r="CW197"/>
  <c r="V197" s="1"/>
  <c r="CX197"/>
  <c r="W197" s="1"/>
  <c r="FR197"/>
  <c r="GK197"/>
  <c r="GL197"/>
  <c r="GO197"/>
  <c r="GP197"/>
  <c r="GV197"/>
  <c r="HC197"/>
  <c r="GX197" s="1"/>
  <c r="I198"/>
  <c r="K198"/>
  <c r="P198"/>
  <c r="CP198" s="1"/>
  <c r="O198" s="1"/>
  <c r="GM198" s="1"/>
  <c r="GN198" s="1"/>
  <c r="R198"/>
  <c r="S198"/>
  <c r="CZ198" s="1"/>
  <c r="Y198" s="1"/>
  <c r="AC198"/>
  <c r="AB198" s="1"/>
  <c r="AD198"/>
  <c r="AE198"/>
  <c r="Q198" s="1"/>
  <c r="AF198"/>
  <c r="AG198"/>
  <c r="AH198"/>
  <c r="CV198" s="1"/>
  <c r="U198" s="1"/>
  <c r="AI198"/>
  <c r="AJ198"/>
  <c r="CQ198"/>
  <c r="CR198"/>
  <c r="CS198"/>
  <c r="CT198"/>
  <c r="CU198"/>
  <c r="T198" s="1"/>
  <c r="CW198"/>
  <c r="V198" s="1"/>
  <c r="CX198"/>
  <c r="W198" s="1"/>
  <c r="CY198"/>
  <c r="X198" s="1"/>
  <c r="FR198"/>
  <c r="GK198"/>
  <c r="GL198"/>
  <c r="GO198"/>
  <c r="GP198"/>
  <c r="GV198"/>
  <c r="HC198"/>
  <c r="GX198" s="1"/>
  <c r="I199"/>
  <c r="P199" s="1"/>
  <c r="K199"/>
  <c r="AC199"/>
  <c r="AE199"/>
  <c r="R199" s="1"/>
  <c r="GK199" s="1"/>
  <c r="AF199"/>
  <c r="AG199"/>
  <c r="AH199"/>
  <c r="AI199"/>
  <c r="CW199" s="1"/>
  <c r="V199" s="1"/>
  <c r="AJ199"/>
  <c r="CQ199"/>
  <c r="CR199"/>
  <c r="CT199"/>
  <c r="CU199"/>
  <c r="T199" s="1"/>
  <c r="CV199"/>
  <c r="U199" s="1"/>
  <c r="CX199"/>
  <c r="W199" s="1"/>
  <c r="FR199"/>
  <c r="GL199"/>
  <c r="GO199"/>
  <c r="GP199"/>
  <c r="GV199"/>
  <c r="HC199" s="1"/>
  <c r="GX199" s="1"/>
  <c r="I200"/>
  <c r="P200" s="1"/>
  <c r="K200"/>
  <c r="R200"/>
  <c r="GK200" s="1"/>
  <c r="AC200"/>
  <c r="AE200"/>
  <c r="Q200" s="1"/>
  <c r="AF200"/>
  <c r="S200" s="1"/>
  <c r="AG200"/>
  <c r="AH200"/>
  <c r="AI200"/>
  <c r="AJ200"/>
  <c r="CX200" s="1"/>
  <c r="W200" s="1"/>
  <c r="CQ200"/>
  <c r="CR200"/>
  <c r="CS200"/>
  <c r="CU200"/>
  <c r="T200" s="1"/>
  <c r="CV200"/>
  <c r="U200" s="1"/>
  <c r="CW200"/>
  <c r="V200" s="1"/>
  <c r="FR200"/>
  <c r="GL200"/>
  <c r="GO200"/>
  <c r="GP200"/>
  <c r="GV200"/>
  <c r="HC200" s="1"/>
  <c r="GX200" s="1"/>
  <c r="I201"/>
  <c r="K201"/>
  <c r="R201"/>
  <c r="S201"/>
  <c r="CY201" s="1"/>
  <c r="X201" s="1"/>
  <c r="AC201"/>
  <c r="P201" s="1"/>
  <c r="AE201"/>
  <c r="AD201" s="1"/>
  <c r="AF201"/>
  <c r="AG201"/>
  <c r="CU201" s="1"/>
  <c r="T201" s="1"/>
  <c r="AH201"/>
  <c r="AI201"/>
  <c r="AJ201"/>
  <c r="CR201"/>
  <c r="CS201"/>
  <c r="CT201"/>
  <c r="CV201"/>
  <c r="U201" s="1"/>
  <c r="CW201"/>
  <c r="V201" s="1"/>
  <c r="CX201"/>
  <c r="W201" s="1"/>
  <c r="FR201"/>
  <c r="GK201"/>
  <c r="GL201"/>
  <c r="GO201"/>
  <c r="GP201"/>
  <c r="GV201"/>
  <c r="HC201"/>
  <c r="GX201" s="1"/>
  <c r="I202"/>
  <c r="K202"/>
  <c r="P202"/>
  <c r="R202"/>
  <c r="S202"/>
  <c r="CZ202" s="1"/>
  <c r="Y202" s="1"/>
  <c r="AC202"/>
  <c r="AB202" s="1"/>
  <c r="AD202"/>
  <c r="AE202"/>
  <c r="Q202" s="1"/>
  <c r="AF202"/>
  <c r="AG202"/>
  <c r="AH202"/>
  <c r="CV202" s="1"/>
  <c r="U202" s="1"/>
  <c r="AI202"/>
  <c r="AJ202"/>
  <c r="CQ202"/>
  <c r="CR202"/>
  <c r="CS202"/>
  <c r="CT202"/>
  <c r="CU202"/>
  <c r="T202" s="1"/>
  <c r="CW202"/>
  <c r="V202" s="1"/>
  <c r="CX202"/>
  <c r="W202" s="1"/>
  <c r="CY202"/>
  <c r="X202" s="1"/>
  <c r="FR202"/>
  <c r="GK202"/>
  <c r="GL202"/>
  <c r="GO202"/>
  <c r="GP202"/>
  <c r="GV202"/>
  <c r="HC202"/>
  <c r="GX202" s="1"/>
  <c r="I203"/>
  <c r="I205" s="1"/>
  <c r="K203"/>
  <c r="AC203"/>
  <c r="AE203"/>
  <c r="R203" s="1"/>
  <c r="GK203" s="1"/>
  <c r="AF203"/>
  <c r="AG203"/>
  <c r="AH203"/>
  <c r="AI203"/>
  <c r="CW203" s="1"/>
  <c r="V203" s="1"/>
  <c r="AJ203"/>
  <c r="CQ203"/>
  <c r="CR203"/>
  <c r="CT203"/>
  <c r="CU203"/>
  <c r="T203" s="1"/>
  <c r="CV203"/>
  <c r="U203" s="1"/>
  <c r="CX203"/>
  <c r="W203" s="1"/>
  <c r="FR203"/>
  <c r="GL203"/>
  <c r="GO203"/>
  <c r="GP203"/>
  <c r="GV203"/>
  <c r="HC203" s="1"/>
  <c r="GX203" s="1"/>
  <c r="I204"/>
  <c r="Q204" s="1"/>
  <c r="R204"/>
  <c r="S204"/>
  <c r="CY204" s="1"/>
  <c r="X204" s="1"/>
  <c r="AC204"/>
  <c r="P204" s="1"/>
  <c r="CP204" s="1"/>
  <c r="O204" s="1"/>
  <c r="AE204"/>
  <c r="AD204" s="1"/>
  <c r="AF204"/>
  <c r="AG204"/>
  <c r="CU204" s="1"/>
  <c r="T204" s="1"/>
  <c r="AH204"/>
  <c r="AI204"/>
  <c r="AJ204"/>
  <c r="CR204"/>
  <c r="CS204"/>
  <c r="CT204"/>
  <c r="CV204"/>
  <c r="U204" s="1"/>
  <c r="CW204"/>
  <c r="V204" s="1"/>
  <c r="CX204"/>
  <c r="W204" s="1"/>
  <c r="FR204"/>
  <c r="GK204"/>
  <c r="GL204"/>
  <c r="GO204"/>
  <c r="GP204"/>
  <c r="GV204"/>
  <c r="HC204"/>
  <c r="GX204" s="1"/>
  <c r="AC205"/>
  <c r="AE205"/>
  <c r="R205" s="1"/>
  <c r="GK205" s="1"/>
  <c r="AF205"/>
  <c r="AG205"/>
  <c r="AH205"/>
  <c r="AI205"/>
  <c r="CW205" s="1"/>
  <c r="V205" s="1"/>
  <c r="AJ205"/>
  <c r="CQ205"/>
  <c r="CR205"/>
  <c r="CT205"/>
  <c r="CU205"/>
  <c r="T205" s="1"/>
  <c r="CV205"/>
  <c r="CX205"/>
  <c r="W205" s="1"/>
  <c r="FR205"/>
  <c r="GL205"/>
  <c r="GO205"/>
  <c r="GP205"/>
  <c r="GV205"/>
  <c r="HC205" s="1"/>
  <c r="GX205" s="1"/>
  <c r="I206"/>
  <c r="I208" s="1"/>
  <c r="K206"/>
  <c r="R206"/>
  <c r="GK206" s="1"/>
  <c r="AC206"/>
  <c r="AE206"/>
  <c r="Q206" s="1"/>
  <c r="AF206"/>
  <c r="S206" s="1"/>
  <c r="AG206"/>
  <c r="AH206"/>
  <c r="AI206"/>
  <c r="AJ206"/>
  <c r="CX206" s="1"/>
  <c r="W206" s="1"/>
  <c r="CQ206"/>
  <c r="CR206"/>
  <c r="CS206"/>
  <c r="CU206"/>
  <c r="T206" s="1"/>
  <c r="CV206"/>
  <c r="U206" s="1"/>
  <c r="CW206"/>
  <c r="V206" s="1"/>
  <c r="FR206"/>
  <c r="GL206"/>
  <c r="GO206"/>
  <c r="GP206"/>
  <c r="GV206"/>
  <c r="HC206" s="1"/>
  <c r="GX206" s="1"/>
  <c r="I207"/>
  <c r="K207"/>
  <c r="R207"/>
  <c r="S207"/>
  <c r="CY207" s="1"/>
  <c r="X207" s="1"/>
  <c r="AC207"/>
  <c r="P207" s="1"/>
  <c r="AE207"/>
  <c r="AD207" s="1"/>
  <c r="AF207"/>
  <c r="AG207"/>
  <c r="CU207" s="1"/>
  <c r="T207" s="1"/>
  <c r="AH207"/>
  <c r="AI207"/>
  <c r="AJ207"/>
  <c r="CR207"/>
  <c r="CS207"/>
  <c r="CT207"/>
  <c r="CV207"/>
  <c r="U207" s="1"/>
  <c r="CW207"/>
  <c r="V207" s="1"/>
  <c r="CX207"/>
  <c r="W207" s="1"/>
  <c r="FR207"/>
  <c r="GK207"/>
  <c r="GL207"/>
  <c r="GO207"/>
  <c r="GP207"/>
  <c r="GV207"/>
  <c r="HC207"/>
  <c r="GX207" s="1"/>
  <c r="AC208"/>
  <c r="AE208"/>
  <c r="R208" s="1"/>
  <c r="GK208" s="1"/>
  <c r="AF208"/>
  <c r="AG208"/>
  <c r="AH208"/>
  <c r="AI208"/>
  <c r="CW208" s="1"/>
  <c r="V208" s="1"/>
  <c r="AJ208"/>
  <c r="CQ208"/>
  <c r="CR208"/>
  <c r="CT208"/>
  <c r="CU208"/>
  <c r="CV208"/>
  <c r="U208" s="1"/>
  <c r="CX208"/>
  <c r="FR208"/>
  <c r="GL208"/>
  <c r="GO208"/>
  <c r="GP208"/>
  <c r="GV208"/>
  <c r="HC208" s="1"/>
  <c r="GX208" s="1"/>
  <c r="I209"/>
  <c r="Q209" s="1"/>
  <c r="R209"/>
  <c r="S209"/>
  <c r="CY209" s="1"/>
  <c r="X209" s="1"/>
  <c r="AC209"/>
  <c r="P209" s="1"/>
  <c r="CP209" s="1"/>
  <c r="O209" s="1"/>
  <c r="AE209"/>
  <c r="AD209" s="1"/>
  <c r="AF209"/>
  <c r="AG209"/>
  <c r="CU209" s="1"/>
  <c r="T209" s="1"/>
  <c r="AH209"/>
  <c r="AI209"/>
  <c r="AJ209"/>
  <c r="CR209"/>
  <c r="CS209"/>
  <c r="CT209"/>
  <c r="CV209"/>
  <c r="U209" s="1"/>
  <c r="CW209"/>
  <c r="V209" s="1"/>
  <c r="CX209"/>
  <c r="W209" s="1"/>
  <c r="FR209"/>
  <c r="GK209"/>
  <c r="GL209"/>
  <c r="GO209"/>
  <c r="GP209"/>
  <c r="GV209"/>
  <c r="HC209"/>
  <c r="GX209" s="1"/>
  <c r="I211"/>
  <c r="K211"/>
  <c r="P211"/>
  <c r="CP211" s="1"/>
  <c r="O211" s="1"/>
  <c r="R211"/>
  <c r="S211"/>
  <c r="CZ211" s="1"/>
  <c r="Y211" s="1"/>
  <c r="AC211"/>
  <c r="AB211" s="1"/>
  <c r="AD211"/>
  <c r="AE211"/>
  <c r="Q211" s="1"/>
  <c r="AF211"/>
  <c r="AG211"/>
  <c r="AH211"/>
  <c r="CV211" s="1"/>
  <c r="U211" s="1"/>
  <c r="AI211"/>
  <c r="AJ211"/>
  <c r="CQ211"/>
  <c r="CR211"/>
  <c r="CS211"/>
  <c r="CT211"/>
  <c r="CU211"/>
  <c r="T211" s="1"/>
  <c r="CW211"/>
  <c r="V211" s="1"/>
  <c r="CX211"/>
  <c r="W211" s="1"/>
  <c r="CY211"/>
  <c r="X211" s="1"/>
  <c r="FR211"/>
  <c r="GK211"/>
  <c r="GL211"/>
  <c r="GO211"/>
  <c r="GP211"/>
  <c r="GV211"/>
  <c r="HC211"/>
  <c r="GX211" s="1"/>
  <c r="I212"/>
  <c r="P212" s="1"/>
  <c r="K212"/>
  <c r="AC212"/>
  <c r="AE212"/>
  <c r="R212" s="1"/>
  <c r="GK212" s="1"/>
  <c r="AF212"/>
  <c r="AG212"/>
  <c r="AH212"/>
  <c r="AI212"/>
  <c r="CW212" s="1"/>
  <c r="V212" s="1"/>
  <c r="AJ212"/>
  <c r="CQ212"/>
  <c r="CR212"/>
  <c r="CT212"/>
  <c r="CU212"/>
  <c r="T212" s="1"/>
  <c r="CV212"/>
  <c r="U212" s="1"/>
  <c r="CX212"/>
  <c r="W212" s="1"/>
  <c r="FR212"/>
  <c r="GL212"/>
  <c r="GO212"/>
  <c r="GP212"/>
  <c r="GV212"/>
  <c r="HC212" s="1"/>
  <c r="GX212" s="1"/>
  <c r="I213"/>
  <c r="P213" s="1"/>
  <c r="K213"/>
  <c r="R213"/>
  <c r="GK213" s="1"/>
  <c r="AC213"/>
  <c r="AE213"/>
  <c r="Q213" s="1"/>
  <c r="AF213"/>
  <c r="S213" s="1"/>
  <c r="AG213"/>
  <c r="AH213"/>
  <c r="AI213"/>
  <c r="AJ213"/>
  <c r="CX213" s="1"/>
  <c r="W213" s="1"/>
  <c r="CQ213"/>
  <c r="CR213"/>
  <c r="CS213"/>
  <c r="CU213"/>
  <c r="T213" s="1"/>
  <c r="CV213"/>
  <c r="U213" s="1"/>
  <c r="CW213"/>
  <c r="V213" s="1"/>
  <c r="FR213"/>
  <c r="GL213"/>
  <c r="GO213"/>
  <c r="GP213"/>
  <c r="GV213"/>
  <c r="HC213" s="1"/>
  <c r="GX213" s="1"/>
  <c r="I214"/>
  <c r="K214"/>
  <c r="R214"/>
  <c r="S214"/>
  <c r="CY214" s="1"/>
  <c r="X214" s="1"/>
  <c r="AC214"/>
  <c r="P214" s="1"/>
  <c r="AE214"/>
  <c r="AD214" s="1"/>
  <c r="AF214"/>
  <c r="AG214"/>
  <c r="CU214" s="1"/>
  <c r="T214" s="1"/>
  <c r="AH214"/>
  <c r="AI214"/>
  <c r="AJ214"/>
  <c r="CR214"/>
  <c r="CS214"/>
  <c r="CT214"/>
  <c r="CV214"/>
  <c r="U214" s="1"/>
  <c r="CW214"/>
  <c r="V214" s="1"/>
  <c r="CX214"/>
  <c r="W214" s="1"/>
  <c r="FR214"/>
  <c r="GK214"/>
  <c r="GL214"/>
  <c r="GO214"/>
  <c r="GP214"/>
  <c r="GV214"/>
  <c r="HC214"/>
  <c r="GX214" s="1"/>
  <c r="I215"/>
  <c r="K215"/>
  <c r="P215"/>
  <c r="R215"/>
  <c r="S215"/>
  <c r="CZ215" s="1"/>
  <c r="Y215" s="1"/>
  <c r="AC215"/>
  <c r="AB215" s="1"/>
  <c r="AD215"/>
  <c r="AE215"/>
  <c r="Q215" s="1"/>
  <c r="AF215"/>
  <c r="AG215"/>
  <c r="AH215"/>
  <c r="CV215" s="1"/>
  <c r="U215" s="1"/>
  <c r="AI215"/>
  <c r="AJ215"/>
  <c r="CQ215"/>
  <c r="CR215"/>
  <c r="CS215"/>
  <c r="CT215"/>
  <c r="CU215"/>
  <c r="T215" s="1"/>
  <c r="CW215"/>
  <c r="V215" s="1"/>
  <c r="CX215"/>
  <c r="W215" s="1"/>
  <c r="CY215"/>
  <c r="X215" s="1"/>
  <c r="FR215"/>
  <c r="GK215"/>
  <c r="GL215"/>
  <c r="GO215"/>
  <c r="GP215"/>
  <c r="GV215"/>
  <c r="HC215"/>
  <c r="GX215" s="1"/>
  <c r="I216"/>
  <c r="I218" s="1"/>
  <c r="K216"/>
  <c r="AC216"/>
  <c r="AE216"/>
  <c r="R216" s="1"/>
  <c r="GK216" s="1"/>
  <c r="AF216"/>
  <c r="AG216"/>
  <c r="AH216"/>
  <c r="AI216"/>
  <c r="CW216" s="1"/>
  <c r="V216" s="1"/>
  <c r="AJ216"/>
  <c r="CQ216"/>
  <c r="CR216"/>
  <c r="CT216"/>
  <c r="CU216"/>
  <c r="T216" s="1"/>
  <c r="CV216"/>
  <c r="U216" s="1"/>
  <c r="CX216"/>
  <c r="W216" s="1"/>
  <c r="FR216"/>
  <c r="GL216"/>
  <c r="GO216"/>
  <c r="GP216"/>
  <c r="GV216"/>
  <c r="HC216" s="1"/>
  <c r="GX216" s="1"/>
  <c r="I217"/>
  <c r="Q217" s="1"/>
  <c r="R217"/>
  <c r="S217"/>
  <c r="CY217" s="1"/>
  <c r="X217" s="1"/>
  <c r="AC217"/>
  <c r="P217" s="1"/>
  <c r="CP217" s="1"/>
  <c r="O217" s="1"/>
  <c r="AE217"/>
  <c r="AD217" s="1"/>
  <c r="AF217"/>
  <c r="AG217"/>
  <c r="CU217" s="1"/>
  <c r="T217" s="1"/>
  <c r="AH217"/>
  <c r="AI217"/>
  <c r="AJ217"/>
  <c r="CR217"/>
  <c r="CS217"/>
  <c r="CT217"/>
  <c r="CV217"/>
  <c r="U217" s="1"/>
  <c r="CW217"/>
  <c r="V217" s="1"/>
  <c r="CX217"/>
  <c r="W217" s="1"/>
  <c r="FR217"/>
  <c r="GK217"/>
  <c r="GL217"/>
  <c r="GO217"/>
  <c r="GP217"/>
  <c r="GV217"/>
  <c r="HC217"/>
  <c r="GX217" s="1"/>
  <c r="AC218"/>
  <c r="AE218"/>
  <c r="R218" s="1"/>
  <c r="GK218" s="1"/>
  <c r="AF218"/>
  <c r="AG218"/>
  <c r="AH218"/>
  <c r="AI218"/>
  <c r="CW218" s="1"/>
  <c r="V218" s="1"/>
  <c r="AJ218"/>
  <c r="CQ218"/>
  <c r="CR218"/>
  <c r="CT218"/>
  <c r="CU218"/>
  <c r="T218" s="1"/>
  <c r="CV218"/>
  <c r="U218" s="1"/>
  <c r="CX218"/>
  <c r="W218" s="1"/>
  <c r="FR218"/>
  <c r="GL218"/>
  <c r="GO218"/>
  <c r="GP218"/>
  <c r="GV218"/>
  <c r="HC218" s="1"/>
  <c r="GX218" s="1"/>
  <c r="I219"/>
  <c r="Q219" s="1"/>
  <c r="R219"/>
  <c r="S219"/>
  <c r="CY219" s="1"/>
  <c r="X219" s="1"/>
  <c r="AC219"/>
  <c r="P219" s="1"/>
  <c r="AE219"/>
  <c r="AD219" s="1"/>
  <c r="AF219"/>
  <c r="AG219"/>
  <c r="CU219" s="1"/>
  <c r="T219" s="1"/>
  <c r="AH219"/>
  <c r="AI219"/>
  <c r="AJ219"/>
  <c r="CR219"/>
  <c r="CS219"/>
  <c r="CT219"/>
  <c r="CV219"/>
  <c r="U219" s="1"/>
  <c r="CW219"/>
  <c r="V219" s="1"/>
  <c r="CX219"/>
  <c r="W219" s="1"/>
  <c r="FR219"/>
  <c r="GK219"/>
  <c r="GL219"/>
  <c r="GO219"/>
  <c r="GP219"/>
  <c r="GV219"/>
  <c r="HC219"/>
  <c r="GX219" s="1"/>
  <c r="AC220"/>
  <c r="AE220"/>
  <c r="AF220"/>
  <c r="AG220"/>
  <c r="AH220"/>
  <c r="AI220"/>
  <c r="CW220" s="1"/>
  <c r="AJ220"/>
  <c r="CQ220"/>
  <c r="CR220"/>
  <c r="CT220"/>
  <c r="CU220"/>
  <c r="CV220"/>
  <c r="CX220"/>
  <c r="FR220"/>
  <c r="GL220"/>
  <c r="GO220"/>
  <c r="GP220"/>
  <c r="GV220"/>
  <c r="HC220" s="1"/>
  <c r="B222"/>
  <c r="B133" s="1"/>
  <c r="C222"/>
  <c r="C133" s="1"/>
  <c r="D222"/>
  <c r="D133" s="1"/>
  <c r="F222"/>
  <c r="F133" s="1"/>
  <c r="G222"/>
  <c r="G133" s="1"/>
  <c r="BX222"/>
  <c r="BX133" s="1"/>
  <c r="BY222"/>
  <c r="BY133" s="1"/>
  <c r="BZ222"/>
  <c r="BZ133" s="1"/>
  <c r="CC222"/>
  <c r="CC133" s="1"/>
  <c r="CD222"/>
  <c r="CD133" s="1"/>
  <c r="CK222"/>
  <c r="CK133" s="1"/>
  <c r="CL222"/>
  <c r="CL133" s="1"/>
  <c r="CM222"/>
  <c r="CM133" s="1"/>
  <c r="FP222"/>
  <c r="FP133" s="1"/>
  <c r="FQ222"/>
  <c r="FQ133" s="1"/>
  <c r="FR222"/>
  <c r="FR133" s="1"/>
  <c r="FU222"/>
  <c r="FU133" s="1"/>
  <c r="FV222"/>
  <c r="FV133" s="1"/>
  <c r="GA222"/>
  <c r="GA133" s="1"/>
  <c r="GC222"/>
  <c r="GC133" s="1"/>
  <c r="GD222"/>
  <c r="GD133" s="1"/>
  <c r="GE222"/>
  <c r="GE133" s="1"/>
  <c r="B252"/>
  <c r="B129" s="1"/>
  <c r="C252"/>
  <c r="C129" s="1"/>
  <c r="D252"/>
  <c r="D129" s="1"/>
  <c r="F252"/>
  <c r="F129" s="1"/>
  <c r="G252"/>
  <c r="G129" s="1"/>
  <c r="B282"/>
  <c r="B22" s="1"/>
  <c r="C282"/>
  <c r="C22" s="1"/>
  <c r="D282"/>
  <c r="D22" s="1"/>
  <c r="F282"/>
  <c r="F22" s="1"/>
  <c r="G282"/>
  <c r="G22" s="1"/>
  <c r="B312"/>
  <c r="B18" s="1"/>
  <c r="C312"/>
  <c r="C18" s="1"/>
  <c r="D312"/>
  <c r="D18" s="1"/>
  <c r="F312"/>
  <c r="F18" s="1"/>
  <c r="G312"/>
  <c r="G18" s="1"/>
  <c r="F12" i="6"/>
  <c r="G12"/>
  <c r="CY12"/>
  <c r="I331" i="7" l="1"/>
  <c r="K332"/>
  <c r="I202"/>
  <c r="H206" s="1"/>
  <c r="K203"/>
  <c r="I219"/>
  <c r="I262"/>
  <c r="K263"/>
  <c r="I377"/>
  <c r="J45"/>
  <c r="K90"/>
  <c r="I124"/>
  <c r="K125"/>
  <c r="I218"/>
  <c r="K219"/>
  <c r="J221" s="1"/>
  <c r="K232"/>
  <c r="K247"/>
  <c r="I302"/>
  <c r="K303"/>
  <c r="P395"/>
  <c r="I17"/>
  <c r="X307"/>
  <c r="P223"/>
  <c r="J180"/>
  <c r="X191"/>
  <c r="K249"/>
  <c r="K262"/>
  <c r="P279"/>
  <c r="I288"/>
  <c r="X294" s="1"/>
  <c r="K289"/>
  <c r="K330"/>
  <c r="J13"/>
  <c r="I15"/>
  <c r="I19"/>
  <c r="K53"/>
  <c r="P58" s="1"/>
  <c r="K64"/>
  <c r="K75"/>
  <c r="P80" s="1"/>
  <c r="I92"/>
  <c r="I232"/>
  <c r="K233"/>
  <c r="I247"/>
  <c r="O253" s="1"/>
  <c r="K248"/>
  <c r="I264"/>
  <c r="K288"/>
  <c r="J292" s="1"/>
  <c r="K316"/>
  <c r="P322" s="1"/>
  <c r="P366"/>
  <c r="K375"/>
  <c r="I41"/>
  <c r="H154"/>
  <c r="I54"/>
  <c r="O58" s="1"/>
  <c r="J56"/>
  <c r="I65"/>
  <c r="I64"/>
  <c r="K65"/>
  <c r="P69" s="1"/>
  <c r="I76"/>
  <c r="K91"/>
  <c r="X107"/>
  <c r="H251"/>
  <c r="J277"/>
  <c r="P307"/>
  <c r="I390"/>
  <c r="J78"/>
  <c r="X96"/>
  <c r="H105"/>
  <c r="P107"/>
  <c r="J154"/>
  <c r="H167"/>
  <c r="P208"/>
  <c r="P253"/>
  <c r="X268"/>
  <c r="O279"/>
  <c r="O307"/>
  <c r="P47"/>
  <c r="J94"/>
  <c r="J116"/>
  <c r="O129"/>
  <c r="O182"/>
  <c r="J251"/>
  <c r="P268"/>
  <c r="X322"/>
  <c r="X336"/>
  <c r="J350"/>
  <c r="X352"/>
  <c r="O366"/>
  <c r="X381"/>
  <c r="O395"/>
  <c r="X69"/>
  <c r="O96"/>
  <c r="P129"/>
  <c r="X129"/>
  <c r="X169"/>
  <c r="X238"/>
  <c r="H266"/>
  <c r="J305"/>
  <c r="J320"/>
  <c r="O322"/>
  <c r="J334"/>
  <c r="O336"/>
  <c r="O352"/>
  <c r="J379"/>
  <c r="O381"/>
  <c r="H45"/>
  <c r="X58"/>
  <c r="O80"/>
  <c r="O118"/>
  <c r="P156"/>
  <c r="P169"/>
  <c r="X208"/>
  <c r="O223"/>
  <c r="J236"/>
  <c r="O238"/>
  <c r="P294"/>
  <c r="X366"/>
  <c r="J364"/>
  <c r="X395"/>
  <c r="J393"/>
  <c r="X47"/>
  <c r="H78"/>
  <c r="H94"/>
  <c r="O107"/>
  <c r="H116"/>
  <c r="J127"/>
  <c r="X156"/>
  <c r="O169"/>
  <c r="H189"/>
  <c r="O208"/>
  <c r="H236"/>
  <c r="O268"/>
  <c r="H277"/>
  <c r="H320"/>
  <c r="H334"/>
  <c r="H350"/>
  <c r="H379"/>
  <c r="W37"/>
  <c r="O47"/>
  <c r="H56"/>
  <c r="O69"/>
  <c r="X80"/>
  <c r="P96"/>
  <c r="J105"/>
  <c r="W111"/>
  <c r="P118"/>
  <c r="X118"/>
  <c r="H127"/>
  <c r="O156"/>
  <c r="J167"/>
  <c r="W173"/>
  <c r="H180"/>
  <c r="P191"/>
  <c r="J206"/>
  <c r="W212"/>
  <c r="H221"/>
  <c r="P238"/>
  <c r="J266"/>
  <c r="W272"/>
  <c r="X279"/>
  <c r="O294"/>
  <c r="H305"/>
  <c r="P336"/>
  <c r="P352"/>
  <c r="H364"/>
  <c r="P381"/>
  <c r="H393"/>
  <c r="X182"/>
  <c r="X223"/>
  <c r="W100"/>
  <c r="W147"/>
  <c r="W242"/>
  <c r="W283"/>
  <c r="W297"/>
  <c r="W356"/>
  <c r="W385"/>
  <c r="CZ196" i="1"/>
  <c r="Y196" s="1"/>
  <c r="CY196"/>
  <c r="X196" s="1"/>
  <c r="CY187"/>
  <c r="X187" s="1"/>
  <c r="CZ187"/>
  <c r="Y187" s="1"/>
  <c r="CP213"/>
  <c r="O213" s="1"/>
  <c r="CP200"/>
  <c r="O200" s="1"/>
  <c r="U194"/>
  <c r="Q218"/>
  <c r="P218"/>
  <c r="S218"/>
  <c r="CZ213"/>
  <c r="Y213" s="1"/>
  <c r="CY213"/>
  <c r="X213" s="1"/>
  <c r="Q205"/>
  <c r="P205"/>
  <c r="S205"/>
  <c r="CZ200"/>
  <c r="Y200" s="1"/>
  <c r="CY200"/>
  <c r="X200" s="1"/>
  <c r="CP219"/>
  <c r="O219" s="1"/>
  <c r="T208"/>
  <c r="W194"/>
  <c r="CP193"/>
  <c r="O193" s="1"/>
  <c r="Q208"/>
  <c r="P208"/>
  <c r="S208"/>
  <c r="Q194"/>
  <c r="P194"/>
  <c r="CP194" s="1"/>
  <c r="O194" s="1"/>
  <c r="S194"/>
  <c r="GM211"/>
  <c r="GN211" s="1"/>
  <c r="GB222"/>
  <c r="CZ206"/>
  <c r="Y206" s="1"/>
  <c r="CY206"/>
  <c r="X206" s="1"/>
  <c r="CZ191"/>
  <c r="Y191" s="1"/>
  <c r="CY191"/>
  <c r="X191" s="1"/>
  <c r="CZ190"/>
  <c r="Y190" s="1"/>
  <c r="CY190"/>
  <c r="X190" s="1"/>
  <c r="GM190" s="1"/>
  <c r="GN190" s="1"/>
  <c r="CZ182"/>
  <c r="Y182" s="1"/>
  <c r="CY182"/>
  <c r="X182" s="1"/>
  <c r="CP215"/>
  <c r="O215" s="1"/>
  <c r="GM215" s="1"/>
  <c r="GN215" s="1"/>
  <c r="W208"/>
  <c r="U205"/>
  <c r="CP202"/>
  <c r="O202" s="1"/>
  <c r="GM202" s="1"/>
  <c r="GN202" s="1"/>
  <c r="CP196"/>
  <c r="O196" s="1"/>
  <c r="GM196" s="1"/>
  <c r="GN196" s="1"/>
  <c r="T194"/>
  <c r="P180"/>
  <c r="CP180" s="1"/>
  <c r="O180" s="1"/>
  <c r="CQ180"/>
  <c r="AB180"/>
  <c r="CZ168"/>
  <c r="Y168" s="1"/>
  <c r="CY168"/>
  <c r="X168" s="1"/>
  <c r="Q170"/>
  <c r="P170"/>
  <c r="CZ157"/>
  <c r="Y157" s="1"/>
  <c r="CY157"/>
  <c r="X157" s="1"/>
  <c r="CY155"/>
  <c r="X155" s="1"/>
  <c r="CZ155"/>
  <c r="Y155" s="1"/>
  <c r="EG222"/>
  <c r="EU222"/>
  <c r="EM222"/>
  <c r="EI222"/>
  <c r="AO222"/>
  <c r="CZ219"/>
  <c r="Y219" s="1"/>
  <c r="CZ217"/>
  <c r="Y217" s="1"/>
  <c r="GM217" s="1"/>
  <c r="GN217" s="1"/>
  <c r="S216"/>
  <c r="CZ214"/>
  <c r="Y214" s="1"/>
  <c r="Q214"/>
  <c r="CP214" s="1"/>
  <c r="O214" s="1"/>
  <c r="GM214" s="1"/>
  <c r="GN214" s="1"/>
  <c r="AD213"/>
  <c r="AB213" s="1"/>
  <c r="S212"/>
  <c r="CZ209"/>
  <c r="Y209" s="1"/>
  <c r="GM209" s="1"/>
  <c r="GN209" s="1"/>
  <c r="CZ207"/>
  <c r="Y207" s="1"/>
  <c r="Q207"/>
  <c r="CP207" s="1"/>
  <c r="O207" s="1"/>
  <c r="GM207" s="1"/>
  <c r="GN207" s="1"/>
  <c r="AD206"/>
  <c r="AB206" s="1"/>
  <c r="P206"/>
  <c r="CP206" s="1"/>
  <c r="O206" s="1"/>
  <c r="GM206" s="1"/>
  <c r="GN206" s="1"/>
  <c r="CZ204"/>
  <c r="Y204" s="1"/>
  <c r="GM204" s="1"/>
  <c r="GN204" s="1"/>
  <c r="S203"/>
  <c r="CZ201"/>
  <c r="Y201" s="1"/>
  <c r="Q201"/>
  <c r="CP201" s="1"/>
  <c r="O201" s="1"/>
  <c r="GM201" s="1"/>
  <c r="GN201" s="1"/>
  <c r="AD200"/>
  <c r="AB200" s="1"/>
  <c r="S199"/>
  <c r="CZ197"/>
  <c r="Y197" s="1"/>
  <c r="Q197"/>
  <c r="CP197" s="1"/>
  <c r="O197" s="1"/>
  <c r="GM197" s="1"/>
  <c r="GN197" s="1"/>
  <c r="AD196"/>
  <c r="AB196" s="1"/>
  <c r="CZ193"/>
  <c r="Y193" s="1"/>
  <c r="S192"/>
  <c r="AB190"/>
  <c r="CR189"/>
  <c r="AD189"/>
  <c r="AB189" s="1"/>
  <c r="R187"/>
  <c r="GK187" s="1"/>
  <c r="Q186"/>
  <c r="CP186" s="1"/>
  <c r="O186" s="1"/>
  <c r="CY185"/>
  <c r="X185" s="1"/>
  <c r="P185"/>
  <c r="CP185" s="1"/>
  <c r="O185" s="1"/>
  <c r="W176"/>
  <c r="S176"/>
  <c r="AB175"/>
  <c r="U160"/>
  <c r="W160"/>
  <c r="S160"/>
  <c r="CP156"/>
  <c r="O156" s="1"/>
  <c r="T154"/>
  <c r="V154"/>
  <c r="R154"/>
  <c r="S184"/>
  <c r="CT184"/>
  <c r="P177"/>
  <c r="CP177" s="1"/>
  <c r="O177" s="1"/>
  <c r="CQ177"/>
  <c r="AB177"/>
  <c r="I178"/>
  <c r="U178" s="1"/>
  <c r="P176"/>
  <c r="P174"/>
  <c r="CP174" s="1"/>
  <c r="O174" s="1"/>
  <c r="CQ174"/>
  <c r="AB174"/>
  <c r="P172"/>
  <c r="CP172" s="1"/>
  <c r="O172" s="1"/>
  <c r="CQ172"/>
  <c r="AB172"/>
  <c r="CZ158"/>
  <c r="Y158" s="1"/>
  <c r="CY158"/>
  <c r="X158" s="1"/>
  <c r="Q160"/>
  <c r="P160"/>
  <c r="CP160" s="1"/>
  <c r="O160" s="1"/>
  <c r="CZ151"/>
  <c r="Y151" s="1"/>
  <c r="CY151"/>
  <c r="X151" s="1"/>
  <c r="EV222"/>
  <c r="ER222"/>
  <c r="CG222"/>
  <c r="BB222"/>
  <c r="AT222"/>
  <c r="AP222"/>
  <c r="AD220"/>
  <c r="AB220" s="1"/>
  <c r="AB219"/>
  <c r="AD218"/>
  <c r="AB218" s="1"/>
  <c r="AB217"/>
  <c r="AD216"/>
  <c r="AB216" s="1"/>
  <c r="P216"/>
  <c r="AB214"/>
  <c r="AD212"/>
  <c r="AB212" s="1"/>
  <c r="AB209"/>
  <c r="AD208"/>
  <c r="AB208" s="1"/>
  <c r="AB207"/>
  <c r="AD205"/>
  <c r="AB205" s="1"/>
  <c r="AB204"/>
  <c r="AD203"/>
  <c r="AB203" s="1"/>
  <c r="P203"/>
  <c r="AB201"/>
  <c r="AD199"/>
  <c r="AB199" s="1"/>
  <c r="AB197"/>
  <c r="AD194"/>
  <c r="AB194" s="1"/>
  <c r="AB193"/>
  <c r="AD192"/>
  <c r="AB192" s="1"/>
  <c r="P192"/>
  <c r="AB191"/>
  <c r="P191"/>
  <c r="CP191" s="1"/>
  <c r="O191" s="1"/>
  <c r="GM191" s="1"/>
  <c r="GN191" s="1"/>
  <c r="S188"/>
  <c r="CR186"/>
  <c r="AD186"/>
  <c r="AB186" s="1"/>
  <c r="U185"/>
  <c r="W185"/>
  <c r="R185"/>
  <c r="GK185" s="1"/>
  <c r="CP184"/>
  <c r="O184" s="1"/>
  <c r="AB183"/>
  <c r="CP169"/>
  <c r="O169" s="1"/>
  <c r="U154"/>
  <c r="DZ222" s="1"/>
  <c r="W154"/>
  <c r="S154"/>
  <c r="CP150"/>
  <c r="O150" s="1"/>
  <c r="S189"/>
  <c r="CP189" s="1"/>
  <c r="O189" s="1"/>
  <c r="CT189"/>
  <c r="CZ180"/>
  <c r="Y180" s="1"/>
  <c r="CY180"/>
  <c r="X180" s="1"/>
  <c r="S179"/>
  <c r="CT179"/>
  <c r="R178"/>
  <c r="GK178" s="1"/>
  <c r="CS178"/>
  <c r="AD178"/>
  <c r="AB178" s="1"/>
  <c r="S171"/>
  <c r="CT171"/>
  <c r="CZ165"/>
  <c r="Y165" s="1"/>
  <c r="CY165"/>
  <c r="X165" s="1"/>
  <c r="CZ163"/>
  <c r="Y163" s="1"/>
  <c r="CY163"/>
  <c r="X163" s="1"/>
  <c r="CZ152"/>
  <c r="Y152" s="1"/>
  <c r="CY152"/>
  <c r="X152" s="1"/>
  <c r="Q154"/>
  <c r="P154"/>
  <c r="CP154" s="1"/>
  <c r="O154" s="1"/>
  <c r="BC222"/>
  <c r="AU222"/>
  <c r="Q216"/>
  <c r="Q212"/>
  <c r="CP212" s="1"/>
  <c r="O212" s="1"/>
  <c r="Q203"/>
  <c r="Q199"/>
  <c r="CP199" s="1"/>
  <c r="O199" s="1"/>
  <c r="Q192"/>
  <c r="AB188"/>
  <c r="AB182"/>
  <c r="GX178"/>
  <c r="T178"/>
  <c r="V178"/>
  <c r="P187"/>
  <c r="CQ187"/>
  <c r="S186"/>
  <c r="CT186"/>
  <c r="P182"/>
  <c r="CP182" s="1"/>
  <c r="O182" s="1"/>
  <c r="GM182" s="1"/>
  <c r="GN182" s="1"/>
  <c r="CQ182"/>
  <c r="R181"/>
  <c r="GK181" s="1"/>
  <c r="CS181"/>
  <c r="AD181"/>
  <c r="AB181" s="1"/>
  <c r="CZ177"/>
  <c r="Y177" s="1"/>
  <c r="CY177"/>
  <c r="X177" s="1"/>
  <c r="R176"/>
  <c r="GK176" s="1"/>
  <c r="CS176"/>
  <c r="AD176"/>
  <c r="AB176" s="1"/>
  <c r="CZ174"/>
  <c r="Y174" s="1"/>
  <c r="CY174"/>
  <c r="X174" s="1"/>
  <c r="R173"/>
  <c r="GK173" s="1"/>
  <c r="CS173"/>
  <c r="AD173"/>
  <c r="AB173" s="1"/>
  <c r="CZ172"/>
  <c r="Y172" s="1"/>
  <c r="CY172"/>
  <c r="X172" s="1"/>
  <c r="CZ167"/>
  <c r="Y167" s="1"/>
  <c r="CY167"/>
  <c r="X167" s="1"/>
  <c r="CY161"/>
  <c r="X161" s="1"/>
  <c r="CZ161"/>
  <c r="Y161" s="1"/>
  <c r="AQ222"/>
  <c r="FY222"/>
  <c r="ET222"/>
  <c r="EL222"/>
  <c r="EH222"/>
  <c r="CI222"/>
  <c r="BD222"/>
  <c r="CS220"/>
  <c r="I220"/>
  <c r="GX220" s="1"/>
  <c r="CQ219"/>
  <c r="CS218"/>
  <c r="CQ217"/>
  <c r="CS216"/>
  <c r="CQ214"/>
  <c r="CT213"/>
  <c r="CS212"/>
  <c r="CQ209"/>
  <c r="CS208"/>
  <c r="CQ207"/>
  <c r="CT206"/>
  <c r="CS205"/>
  <c r="CQ204"/>
  <c r="CS203"/>
  <c r="CQ201"/>
  <c r="CT200"/>
  <c r="CS199"/>
  <c r="CQ197"/>
  <c r="CT196"/>
  <c r="CS194"/>
  <c r="CQ193"/>
  <c r="CS192"/>
  <c r="CR187"/>
  <c r="Q187"/>
  <c r="W186"/>
  <c r="CR184"/>
  <c r="AD184"/>
  <c r="AB184" s="1"/>
  <c r="CY183"/>
  <c r="X183" s="1"/>
  <c r="T182"/>
  <c r="Q181"/>
  <c r="CP181" s="1"/>
  <c r="O181" s="1"/>
  <c r="GM181" s="1"/>
  <c r="GN181" s="1"/>
  <c r="W178"/>
  <c r="S178"/>
  <c r="GX176"/>
  <c r="T176"/>
  <c r="V176"/>
  <c r="Q176"/>
  <c r="Q173"/>
  <c r="CP173" s="1"/>
  <c r="O173" s="1"/>
  <c r="GM173" s="1"/>
  <c r="GN173" s="1"/>
  <c r="CP166"/>
  <c r="O166" s="1"/>
  <c r="CP165"/>
  <c r="O165" s="1"/>
  <c r="GM165" s="1"/>
  <c r="GN165" s="1"/>
  <c r="CP164"/>
  <c r="O164" s="1"/>
  <c r="CP162"/>
  <c r="O162" s="1"/>
  <c r="T160"/>
  <c r="V160"/>
  <c r="R160"/>
  <c r="GK160" s="1"/>
  <c r="W159"/>
  <c r="T159"/>
  <c r="P159"/>
  <c r="CY62"/>
  <c r="X62" s="1"/>
  <c r="CZ62"/>
  <c r="Y62" s="1"/>
  <c r="AH30"/>
  <c r="U67"/>
  <c r="Q179"/>
  <c r="CP179" s="1"/>
  <c r="O179" s="1"/>
  <c r="Q171"/>
  <c r="CP171" s="1"/>
  <c r="O171" s="1"/>
  <c r="AD170"/>
  <c r="AB170" s="1"/>
  <c r="AB169"/>
  <c r="AD168"/>
  <c r="AB168" s="1"/>
  <c r="P168"/>
  <c r="AB166"/>
  <c r="AD165"/>
  <c r="AB165" s="1"/>
  <c r="AB164"/>
  <c r="AD163"/>
  <c r="AB163" s="1"/>
  <c r="AB162"/>
  <c r="Q161"/>
  <c r="CP161" s="1"/>
  <c r="O161" s="1"/>
  <c r="GM161" s="1"/>
  <c r="GN161" s="1"/>
  <c r="AD160"/>
  <c r="AB160" s="1"/>
  <c r="AB159"/>
  <c r="I159"/>
  <c r="U159" s="1"/>
  <c r="AD158"/>
  <c r="AB158" s="1"/>
  <c r="P158"/>
  <c r="AB156"/>
  <c r="Q155"/>
  <c r="CP155" s="1"/>
  <c r="O155" s="1"/>
  <c r="GM155" s="1"/>
  <c r="GN155" s="1"/>
  <c r="AD154"/>
  <c r="AB154" s="1"/>
  <c r="AB153"/>
  <c r="I153"/>
  <c r="W153" s="1"/>
  <c r="AD152"/>
  <c r="AB152" s="1"/>
  <c r="P152"/>
  <c r="AB150"/>
  <c r="Q149"/>
  <c r="CP149" s="1"/>
  <c r="O149" s="1"/>
  <c r="CY148"/>
  <c r="X148" s="1"/>
  <c r="P148"/>
  <c r="CP148" s="1"/>
  <c r="O148" s="1"/>
  <c r="GM148" s="1"/>
  <c r="GN148" s="1"/>
  <c r="CR147"/>
  <c r="U147"/>
  <c r="CZ142"/>
  <c r="Y142" s="1"/>
  <c r="Q142"/>
  <c r="CP137"/>
  <c r="O137" s="1"/>
  <c r="CP65"/>
  <c r="O65" s="1"/>
  <c r="CP63"/>
  <c r="O63" s="1"/>
  <c r="AI67"/>
  <c r="P145"/>
  <c r="CQ145"/>
  <c r="CY145"/>
  <c r="X145" s="1"/>
  <c r="CZ145"/>
  <c r="Y145" s="1"/>
  <c r="S143"/>
  <c r="CT143"/>
  <c r="P140"/>
  <c r="CQ140"/>
  <c r="AB140"/>
  <c r="S139"/>
  <c r="CT139"/>
  <c r="CZ61"/>
  <c r="Y61" s="1"/>
  <c r="CY61"/>
  <c r="X61" s="1"/>
  <c r="CJ30"/>
  <c r="BA67"/>
  <c r="CZ60"/>
  <c r="Y60" s="1"/>
  <c r="CY60"/>
  <c r="X60" s="1"/>
  <c r="AJ30"/>
  <c r="W67"/>
  <c r="Q168"/>
  <c r="Q165"/>
  <c r="Q163"/>
  <c r="CP163" s="1"/>
  <c r="O163" s="1"/>
  <c r="GM163" s="1"/>
  <c r="GN163" s="1"/>
  <c r="Q158"/>
  <c r="Q152"/>
  <c r="DV222" s="1"/>
  <c r="AG67"/>
  <c r="S147"/>
  <c r="CT147"/>
  <c r="Q183"/>
  <c r="CP183" s="1"/>
  <c r="O183" s="1"/>
  <c r="GM183" s="1"/>
  <c r="GN183" s="1"/>
  <c r="Q175"/>
  <c r="CP175" s="1"/>
  <c r="O175" s="1"/>
  <c r="GM175" s="1"/>
  <c r="GN175" s="1"/>
  <c r="CS170"/>
  <c r="CY169"/>
  <c r="X169" s="1"/>
  <c r="CQ169"/>
  <c r="CS168"/>
  <c r="Q167"/>
  <c r="CP167" s="1"/>
  <c r="O167" s="1"/>
  <c r="GM167" s="1"/>
  <c r="GN167" s="1"/>
  <c r="CY166"/>
  <c r="X166" s="1"/>
  <c r="CQ166"/>
  <c r="CS165"/>
  <c r="CY164"/>
  <c r="X164" s="1"/>
  <c r="CQ164"/>
  <c r="CS163"/>
  <c r="CY162"/>
  <c r="X162" s="1"/>
  <c r="CQ162"/>
  <c r="CT161"/>
  <c r="CS160"/>
  <c r="CQ159"/>
  <c r="CS158"/>
  <c r="Q157"/>
  <c r="CP157" s="1"/>
  <c r="O157" s="1"/>
  <c r="GM157" s="1"/>
  <c r="GN157" s="1"/>
  <c r="CY156"/>
  <c r="X156" s="1"/>
  <c r="CQ156"/>
  <c r="CT155"/>
  <c r="CS154"/>
  <c r="CQ153"/>
  <c r="CS152"/>
  <c r="Q151"/>
  <c r="CP151" s="1"/>
  <c r="O151" s="1"/>
  <c r="GM151" s="1"/>
  <c r="GN151" s="1"/>
  <c r="CY150"/>
  <c r="X150" s="1"/>
  <c r="CQ150"/>
  <c r="T147"/>
  <c r="W147"/>
  <c r="Q147"/>
  <c r="CP147" s="1"/>
  <c r="O147" s="1"/>
  <c r="CQ146"/>
  <c r="AB143"/>
  <c r="GX142"/>
  <c r="W142"/>
  <c r="CQ141"/>
  <c r="CP139"/>
  <c r="O139" s="1"/>
  <c r="CP136"/>
  <c r="O136" s="1"/>
  <c r="R142"/>
  <c r="CS142"/>
  <c r="CY140"/>
  <c r="X140" s="1"/>
  <c r="CZ140"/>
  <c r="Y140" s="1"/>
  <c r="CZ64"/>
  <c r="Y64" s="1"/>
  <c r="CY64"/>
  <c r="X64" s="1"/>
  <c r="CS183"/>
  <c r="CT181"/>
  <c r="CQ179"/>
  <c r="CT178"/>
  <c r="CT176"/>
  <c r="CS175"/>
  <c r="CT173"/>
  <c r="CQ171"/>
  <c r="CT170"/>
  <c r="CT168"/>
  <c r="CS167"/>
  <c r="CT165"/>
  <c r="CT163"/>
  <c r="CQ161"/>
  <c r="CT160"/>
  <c r="CT158"/>
  <c r="CS157"/>
  <c r="CQ155"/>
  <c r="CT154"/>
  <c r="CT152"/>
  <c r="CS151"/>
  <c r="W149"/>
  <c r="S149"/>
  <c r="R147"/>
  <c r="GK147" s="1"/>
  <c r="P146"/>
  <c r="CP146" s="1"/>
  <c r="O146" s="1"/>
  <c r="GM146" s="1"/>
  <c r="GN146" s="1"/>
  <c r="CR143"/>
  <c r="CP143"/>
  <c r="O143" s="1"/>
  <c r="V142"/>
  <c r="P142"/>
  <c r="CP142" s="1"/>
  <c r="O142" s="1"/>
  <c r="P141"/>
  <c r="P59"/>
  <c r="CP59" s="1"/>
  <c r="O59" s="1"/>
  <c r="CQ59"/>
  <c r="Q145"/>
  <c r="Q140"/>
  <c r="AD139"/>
  <c r="AB139" s="1"/>
  <c r="S138"/>
  <c r="CZ136"/>
  <c r="Y136" s="1"/>
  <c r="Q136"/>
  <c r="FY67"/>
  <c r="ET67"/>
  <c r="EL67"/>
  <c r="EH67"/>
  <c r="CI67"/>
  <c r="BD67"/>
  <c r="AB65"/>
  <c r="AD64"/>
  <c r="AB64" s="1"/>
  <c r="AB63"/>
  <c r="Q62"/>
  <c r="CP62" s="1"/>
  <c r="O62" s="1"/>
  <c r="GM62" s="1"/>
  <c r="GN62" s="1"/>
  <c r="AD61"/>
  <c r="AB61" s="1"/>
  <c r="T57"/>
  <c r="T53"/>
  <c r="CP50"/>
  <c r="O50" s="1"/>
  <c r="W44"/>
  <c r="CP41"/>
  <c r="O41" s="1"/>
  <c r="AB60"/>
  <c r="P60"/>
  <c r="AD59"/>
  <c r="AB59" s="1"/>
  <c r="R59"/>
  <c r="GK59" s="1"/>
  <c r="CS59"/>
  <c r="S58"/>
  <c r="CP58" s="1"/>
  <c r="O58" s="1"/>
  <c r="CT58"/>
  <c r="AB57"/>
  <c r="P57"/>
  <c r="CP57" s="1"/>
  <c r="O57" s="1"/>
  <c r="CQ57"/>
  <c r="CY50"/>
  <c r="X50" s="1"/>
  <c r="CZ50"/>
  <c r="Y50" s="1"/>
  <c r="CZ46"/>
  <c r="Y46" s="1"/>
  <c r="CY46"/>
  <c r="X46" s="1"/>
  <c r="CY41"/>
  <c r="X41" s="1"/>
  <c r="CZ41"/>
  <c r="Y41" s="1"/>
  <c r="CZ38"/>
  <c r="Y38" s="1"/>
  <c r="CY38"/>
  <c r="X38" s="1"/>
  <c r="AD138"/>
  <c r="AB138" s="1"/>
  <c r="AB136"/>
  <c r="EU67"/>
  <c r="EM67"/>
  <c r="EI67"/>
  <c r="AO67"/>
  <c r="Q64"/>
  <c r="CP64" s="1"/>
  <c r="O64" s="1"/>
  <c r="GM64" s="1"/>
  <c r="GN64" s="1"/>
  <c r="Q61"/>
  <c r="CP61" s="1"/>
  <c r="O61" s="1"/>
  <c r="GM61" s="1"/>
  <c r="GN61" s="1"/>
  <c r="AB58"/>
  <c r="GM54"/>
  <c r="GN54" s="1"/>
  <c r="CP51"/>
  <c r="O51" s="1"/>
  <c r="CP47"/>
  <c r="O47" s="1"/>
  <c r="CP45"/>
  <c r="O45" s="1"/>
  <c r="GM45" s="1"/>
  <c r="GN45" s="1"/>
  <c r="CP42"/>
  <c r="O42" s="1"/>
  <c r="CP39"/>
  <c r="O39" s="1"/>
  <c r="CP37"/>
  <c r="O37" s="1"/>
  <c r="CP36"/>
  <c r="O36" s="1"/>
  <c r="R57"/>
  <c r="GK57" s="1"/>
  <c r="CS57"/>
  <c r="AD57"/>
  <c r="P56"/>
  <c r="CP56" s="1"/>
  <c r="O56" s="1"/>
  <c r="GM56" s="1"/>
  <c r="GN56" s="1"/>
  <c r="CQ56"/>
  <c r="P55"/>
  <c r="CP55" s="1"/>
  <c r="O55" s="1"/>
  <c r="CQ55"/>
  <c r="Q53"/>
  <c r="CP53" s="1"/>
  <c r="O53" s="1"/>
  <c r="S53"/>
  <c r="CZ45"/>
  <c r="Y45" s="1"/>
  <c r="CY45"/>
  <c r="X45" s="1"/>
  <c r="Q44"/>
  <c r="S44"/>
  <c r="CZ37"/>
  <c r="Y37" s="1"/>
  <c r="CY37"/>
  <c r="X37" s="1"/>
  <c r="Q138"/>
  <c r="CP138" s="1"/>
  <c r="O138" s="1"/>
  <c r="EV67"/>
  <c r="ER67"/>
  <c r="BB67"/>
  <c r="AX67"/>
  <c r="AT67"/>
  <c r="AP67"/>
  <c r="CY65"/>
  <c r="X65" s="1"/>
  <c r="CQ65"/>
  <c r="CS64"/>
  <c r="CY63"/>
  <c r="X63" s="1"/>
  <c r="CQ63"/>
  <c r="CT62"/>
  <c r="CS61"/>
  <c r="CQ60"/>
  <c r="AB48"/>
  <c r="CP44"/>
  <c r="O44" s="1"/>
  <c r="AD56"/>
  <c r="AB56" s="1"/>
  <c r="R56"/>
  <c r="GK56" s="1"/>
  <c r="CS56"/>
  <c r="R55"/>
  <c r="GK55" s="1"/>
  <c r="CS55"/>
  <c r="AD55"/>
  <c r="AB55" s="1"/>
  <c r="CS138"/>
  <c r="CQ136"/>
  <c r="EG67"/>
  <c r="BC67"/>
  <c r="AU67"/>
  <c r="AQ67"/>
  <c r="CT64"/>
  <c r="CQ62"/>
  <c r="CT61"/>
  <c r="Q60"/>
  <c r="T59"/>
  <c r="V55"/>
  <c r="W53"/>
  <c r="U44"/>
  <c r="V44"/>
  <c r="CT54"/>
  <c r="CS53"/>
  <c r="AB53"/>
  <c r="R53"/>
  <c r="GK53" s="1"/>
  <c r="CQ52"/>
  <c r="AD52"/>
  <c r="AB52" s="1"/>
  <c r="P52"/>
  <c r="CS51"/>
  <c r="R51"/>
  <c r="GK51" s="1"/>
  <c r="CQ48"/>
  <c r="AD48"/>
  <c r="CS47"/>
  <c r="R47"/>
  <c r="GK47" s="1"/>
  <c r="CQ46"/>
  <c r="AD46"/>
  <c r="AB46" s="1"/>
  <c r="P46"/>
  <c r="CP46" s="1"/>
  <c r="O46" s="1"/>
  <c r="GM46" s="1"/>
  <c r="GN46" s="1"/>
  <c r="CT45"/>
  <c r="CS44"/>
  <c r="AB44"/>
  <c r="R44"/>
  <c r="GK44" s="1"/>
  <c r="CQ43"/>
  <c r="AD43"/>
  <c r="AB43" s="1"/>
  <c r="P43"/>
  <c r="CS42"/>
  <c r="R42"/>
  <c r="GK42" s="1"/>
  <c r="CQ40"/>
  <c r="AD40"/>
  <c r="AB40" s="1"/>
  <c r="P40"/>
  <c r="CS39"/>
  <c r="R39"/>
  <c r="CQ38"/>
  <c r="AD38"/>
  <c r="AB38" s="1"/>
  <c r="P38"/>
  <c r="CT37"/>
  <c r="CS36"/>
  <c r="R36"/>
  <c r="GK36" s="1"/>
  <c r="CQ35"/>
  <c r="AD35"/>
  <c r="AB35" s="1"/>
  <c r="P35"/>
  <c r="CS34"/>
  <c r="AB34"/>
  <c r="R34"/>
  <c r="CZ33"/>
  <c r="Y33" s="1"/>
  <c r="Q52"/>
  <c r="AB50"/>
  <c r="Q46"/>
  <c r="Q43"/>
  <c r="AB41"/>
  <c r="Q40"/>
  <c r="Q38"/>
  <c r="Q35"/>
  <c r="AD67" s="1"/>
  <c r="AB33"/>
  <c r="CQ53"/>
  <c r="CS52"/>
  <c r="CY51"/>
  <c r="X51" s="1"/>
  <c r="CQ51"/>
  <c r="AD51"/>
  <c r="AB51" s="1"/>
  <c r="CT50"/>
  <c r="CS48"/>
  <c r="I48"/>
  <c r="T48" s="1"/>
  <c r="DY67" s="1"/>
  <c r="CY47"/>
  <c r="X47" s="1"/>
  <c r="CQ47"/>
  <c r="AD47"/>
  <c r="AB47" s="1"/>
  <c r="CS46"/>
  <c r="CQ44"/>
  <c r="CS43"/>
  <c r="CQ42"/>
  <c r="AD42"/>
  <c r="AB42" s="1"/>
  <c r="CT41"/>
  <c r="CS40"/>
  <c r="CQ39"/>
  <c r="AD39"/>
  <c r="AB39" s="1"/>
  <c r="CS38"/>
  <c r="CQ36"/>
  <c r="AD36"/>
  <c r="AB36" s="1"/>
  <c r="CS35"/>
  <c r="CQ34"/>
  <c r="AD34"/>
  <c r="CQ33"/>
  <c r="H67" i="7" l="1"/>
  <c r="J67"/>
  <c r="X253"/>
  <c r="I14" s="1"/>
  <c r="I13" s="1"/>
  <c r="H292"/>
  <c r="H136"/>
  <c r="H404"/>
  <c r="H132"/>
  <c r="J400"/>
  <c r="J396"/>
  <c r="J136"/>
  <c r="J404"/>
  <c r="J132"/>
  <c r="H400"/>
  <c r="H396"/>
  <c r="I18"/>
  <c r="DY30" i="1"/>
  <c r="DL67"/>
  <c r="AD30"/>
  <c r="Q67"/>
  <c r="CP35"/>
  <c r="O35" s="1"/>
  <c r="AC67"/>
  <c r="AU30"/>
  <c r="AU97"/>
  <c r="F86"/>
  <c r="AP30"/>
  <c r="AP97"/>
  <c r="F76"/>
  <c r="ER30"/>
  <c r="ER97"/>
  <c r="P78"/>
  <c r="GM36"/>
  <c r="GN36" s="1"/>
  <c r="AO30"/>
  <c r="F71"/>
  <c r="AO97"/>
  <c r="EL30"/>
  <c r="EL97"/>
  <c r="P85"/>
  <c r="CP141"/>
  <c r="O141" s="1"/>
  <c r="GM141" s="1"/>
  <c r="GN141" s="1"/>
  <c r="DU222"/>
  <c r="AG30"/>
  <c r="T67"/>
  <c r="CZ139"/>
  <c r="Y139" s="1"/>
  <c r="CY139"/>
  <c r="X139" s="1"/>
  <c r="GM139" s="1"/>
  <c r="GN139" s="1"/>
  <c r="DX222"/>
  <c r="U30"/>
  <c r="F89"/>
  <c r="U97"/>
  <c r="BD133"/>
  <c r="BD252"/>
  <c r="F247"/>
  <c r="ET133"/>
  <c r="P235"/>
  <c r="ET252"/>
  <c r="AP133"/>
  <c r="AP252"/>
  <c r="F231"/>
  <c r="ER133"/>
  <c r="ER252"/>
  <c r="P233"/>
  <c r="CZ184"/>
  <c r="Y184" s="1"/>
  <c r="CY184"/>
  <c r="X184" s="1"/>
  <c r="GK154"/>
  <c r="DW222"/>
  <c r="AO133"/>
  <c r="F226"/>
  <c r="AO252"/>
  <c r="EG133"/>
  <c r="P226"/>
  <c r="EG252"/>
  <c r="GB133"/>
  <c r="ES222"/>
  <c r="CZ208"/>
  <c r="Y208" s="1"/>
  <c r="CY208"/>
  <c r="X208" s="1"/>
  <c r="CZ205"/>
  <c r="Y205" s="1"/>
  <c r="CY205"/>
  <c r="X205" s="1"/>
  <c r="P48"/>
  <c r="GM55"/>
  <c r="GN55" s="1"/>
  <c r="GM42"/>
  <c r="GN42" s="1"/>
  <c r="GM41"/>
  <c r="GN41" s="1"/>
  <c r="CP152"/>
  <c r="O152" s="1"/>
  <c r="GM152" s="1"/>
  <c r="GN152" s="1"/>
  <c r="GM162"/>
  <c r="GN162" s="1"/>
  <c r="GM166"/>
  <c r="GN166" s="1"/>
  <c r="V159"/>
  <c r="U153"/>
  <c r="GX159"/>
  <c r="U220"/>
  <c r="GM193"/>
  <c r="GN193" s="1"/>
  <c r="W220"/>
  <c r="S48"/>
  <c r="Q48"/>
  <c r="CP38"/>
  <c r="O38" s="1"/>
  <c r="GM38" s="1"/>
  <c r="GN38" s="1"/>
  <c r="DU67"/>
  <c r="AQ30"/>
  <c r="F77"/>
  <c r="AQ97"/>
  <c r="BB30"/>
  <c r="BB97"/>
  <c r="F80"/>
  <c r="EU30"/>
  <c r="EU97"/>
  <c r="P83"/>
  <c r="EH30"/>
  <c r="P76"/>
  <c r="EH97"/>
  <c r="CZ149"/>
  <c r="Y149" s="1"/>
  <c r="CY149"/>
  <c r="X149" s="1"/>
  <c r="GM149" s="1"/>
  <c r="GN149" s="1"/>
  <c r="GK142"/>
  <c r="CY147"/>
  <c r="X147" s="1"/>
  <c r="GM147" s="1"/>
  <c r="GN147" s="1"/>
  <c r="CZ147"/>
  <c r="Y147" s="1"/>
  <c r="W30"/>
  <c r="F91"/>
  <c r="W97"/>
  <c r="BA30"/>
  <c r="F87"/>
  <c r="BA97"/>
  <c r="CP140"/>
  <c r="O140" s="1"/>
  <c r="GM140" s="1"/>
  <c r="GN140" s="1"/>
  <c r="EL133"/>
  <c r="P240"/>
  <c r="EL252"/>
  <c r="BC133"/>
  <c r="F238"/>
  <c r="BC252"/>
  <c r="DZ133"/>
  <c r="DM222"/>
  <c r="CZ188"/>
  <c r="Y188" s="1"/>
  <c r="CY188"/>
  <c r="X188" s="1"/>
  <c r="CG133"/>
  <c r="AX222"/>
  <c r="P178"/>
  <c r="Q178"/>
  <c r="CY176"/>
  <c r="X176" s="1"/>
  <c r="CZ176"/>
  <c r="Y176" s="1"/>
  <c r="EU133"/>
  <c r="P238"/>
  <c r="EU252"/>
  <c r="CP43"/>
  <c r="O43" s="1"/>
  <c r="GM43" s="1"/>
  <c r="GN43" s="1"/>
  <c r="U48"/>
  <c r="DZ67" s="1"/>
  <c r="GM33"/>
  <c r="GM47"/>
  <c r="GN47" s="1"/>
  <c r="GM57"/>
  <c r="GN57" s="1"/>
  <c r="GM50"/>
  <c r="GN50" s="1"/>
  <c r="GM59"/>
  <c r="GN59" s="1"/>
  <c r="GM63"/>
  <c r="GN63" s="1"/>
  <c r="CP158"/>
  <c r="O158" s="1"/>
  <c r="GM158" s="1"/>
  <c r="GN158" s="1"/>
  <c r="CP187"/>
  <c r="O187" s="1"/>
  <c r="GM187" s="1"/>
  <c r="GN187" s="1"/>
  <c r="GM150"/>
  <c r="GN150" s="1"/>
  <c r="GM169"/>
  <c r="GN169" s="1"/>
  <c r="GM156"/>
  <c r="GN156" s="1"/>
  <c r="GM180"/>
  <c r="GN180" s="1"/>
  <c r="V220"/>
  <c r="CP188"/>
  <c r="O188" s="1"/>
  <c r="GM188" s="1"/>
  <c r="GN188" s="1"/>
  <c r="GM213"/>
  <c r="GN213" s="1"/>
  <c r="EM30"/>
  <c r="P86"/>
  <c r="EM97"/>
  <c r="CZ58"/>
  <c r="Y58" s="1"/>
  <c r="AL67" s="1"/>
  <c r="CY58"/>
  <c r="X58" s="1"/>
  <c r="GM58" s="1"/>
  <c r="GN58" s="1"/>
  <c r="AF67"/>
  <c r="CI30"/>
  <c r="AZ67"/>
  <c r="FY30"/>
  <c r="EP67"/>
  <c r="GM136"/>
  <c r="DV133"/>
  <c r="DI222"/>
  <c r="AI30"/>
  <c r="V67"/>
  <c r="GM137"/>
  <c r="Q153"/>
  <c r="AD222" s="1"/>
  <c r="S153"/>
  <c r="R153"/>
  <c r="GK153" s="1"/>
  <c r="CY178"/>
  <c r="X178" s="1"/>
  <c r="CZ178"/>
  <c r="Y178" s="1"/>
  <c r="Q220"/>
  <c r="P220"/>
  <c r="S220"/>
  <c r="EH133"/>
  <c r="P231"/>
  <c r="EH252"/>
  <c r="AQ133"/>
  <c r="F232"/>
  <c r="AQ252"/>
  <c r="AU133"/>
  <c r="AU252"/>
  <c r="F241"/>
  <c r="CY179"/>
  <c r="X179" s="1"/>
  <c r="GM179" s="1"/>
  <c r="GN179" s="1"/>
  <c r="CZ179"/>
  <c r="Y179" s="1"/>
  <c r="CZ189"/>
  <c r="Y189" s="1"/>
  <c r="CY189"/>
  <c r="X189" s="1"/>
  <c r="GM189" s="1"/>
  <c r="GN189" s="1"/>
  <c r="BB133"/>
  <c r="BB252"/>
  <c r="F235"/>
  <c r="CZ199"/>
  <c r="Y199" s="1"/>
  <c r="CY199"/>
  <c r="X199" s="1"/>
  <c r="GM199" s="1"/>
  <c r="GN199" s="1"/>
  <c r="CZ203"/>
  <c r="Y203" s="1"/>
  <c r="CY203"/>
  <c r="X203" s="1"/>
  <c r="EM133"/>
  <c r="P241"/>
  <c r="EM252"/>
  <c r="GM51"/>
  <c r="GN51" s="1"/>
  <c r="CP60"/>
  <c r="O60" s="1"/>
  <c r="GM60" s="1"/>
  <c r="GN60" s="1"/>
  <c r="W48"/>
  <c r="AJ222"/>
  <c r="AH222"/>
  <c r="CP168"/>
  <c r="O168" s="1"/>
  <c r="GM168" s="1"/>
  <c r="GN168" s="1"/>
  <c r="GM164"/>
  <c r="GN164" s="1"/>
  <c r="EB222"/>
  <c r="CP192"/>
  <c r="O192" s="1"/>
  <c r="CP216"/>
  <c r="O216" s="1"/>
  <c r="GM172"/>
  <c r="GN172" s="1"/>
  <c r="CP176"/>
  <c r="O176" s="1"/>
  <c r="GM176" s="1"/>
  <c r="GN176" s="1"/>
  <c r="GM177"/>
  <c r="GN177" s="1"/>
  <c r="T153"/>
  <c r="AG222" s="1"/>
  <c r="DY222"/>
  <c r="GM185"/>
  <c r="GN185" s="1"/>
  <c r="T220"/>
  <c r="R220"/>
  <c r="GK220" s="1"/>
  <c r="GM219"/>
  <c r="GN219" s="1"/>
  <c r="CP218"/>
  <c r="O218" s="1"/>
  <c r="GM200"/>
  <c r="GN200" s="1"/>
  <c r="GK39"/>
  <c r="GM39" s="1"/>
  <c r="GN39" s="1"/>
  <c r="AE67"/>
  <c r="EG30"/>
  <c r="P71"/>
  <c r="EG97"/>
  <c r="AX30"/>
  <c r="AX97"/>
  <c r="F74"/>
  <c r="GK34"/>
  <c r="GM34" s="1"/>
  <c r="DW67"/>
  <c r="BC30"/>
  <c r="F83"/>
  <c r="BC97"/>
  <c r="AT30"/>
  <c r="F85"/>
  <c r="AT97"/>
  <c r="EV30"/>
  <c r="EV97"/>
  <c r="P92"/>
  <c r="CZ44"/>
  <c r="Y44" s="1"/>
  <c r="CY44"/>
  <c r="X44" s="1"/>
  <c r="GM44" s="1"/>
  <c r="GN44" s="1"/>
  <c r="DX67"/>
  <c r="CZ53"/>
  <c r="Y53" s="1"/>
  <c r="CY53"/>
  <c r="X53" s="1"/>
  <c r="GM53" s="1"/>
  <c r="GN53" s="1"/>
  <c r="EI30"/>
  <c r="EI97"/>
  <c r="P77"/>
  <c r="BD30"/>
  <c r="F92"/>
  <c r="BD97"/>
  <c r="ET30"/>
  <c r="P80"/>
  <c r="ET97"/>
  <c r="CZ138"/>
  <c r="Y138" s="1"/>
  <c r="CY138"/>
  <c r="X138" s="1"/>
  <c r="CY143"/>
  <c r="X143" s="1"/>
  <c r="GM143" s="1"/>
  <c r="GN143" s="1"/>
  <c r="CZ143"/>
  <c r="Y143" s="1"/>
  <c r="Q159"/>
  <c r="CP159" s="1"/>
  <c r="O159" s="1"/>
  <c r="S159"/>
  <c r="R159"/>
  <c r="GK159" s="1"/>
  <c r="CI133"/>
  <c r="AZ222"/>
  <c r="FY133"/>
  <c r="EP222"/>
  <c r="CZ186"/>
  <c r="Y186" s="1"/>
  <c r="CY186"/>
  <c r="X186" s="1"/>
  <c r="GM186" s="1"/>
  <c r="GN186" s="1"/>
  <c r="CY171"/>
  <c r="X171" s="1"/>
  <c r="GM171" s="1"/>
  <c r="GN171" s="1"/>
  <c r="CZ171"/>
  <c r="Y171" s="1"/>
  <c r="CZ154"/>
  <c r="Y154" s="1"/>
  <c r="CY154"/>
  <c r="X154" s="1"/>
  <c r="GM154" s="1"/>
  <c r="GN154" s="1"/>
  <c r="AT133"/>
  <c r="F240"/>
  <c r="AT252"/>
  <c r="EV133"/>
  <c r="EV252"/>
  <c r="P247"/>
  <c r="CZ160"/>
  <c r="Y160" s="1"/>
  <c r="CY160"/>
  <c r="X160" s="1"/>
  <c r="GM160" s="1"/>
  <c r="GN160" s="1"/>
  <c r="CZ192"/>
  <c r="Y192" s="1"/>
  <c r="CY192"/>
  <c r="X192" s="1"/>
  <c r="CZ212"/>
  <c r="Y212" s="1"/>
  <c r="CY212"/>
  <c r="X212" s="1"/>
  <c r="GM212" s="1"/>
  <c r="GN212" s="1"/>
  <c r="CZ216"/>
  <c r="Y216" s="1"/>
  <c r="CY216"/>
  <c r="X216" s="1"/>
  <c r="EI133"/>
  <c r="P232"/>
  <c r="EI252"/>
  <c r="CZ194"/>
  <c r="Y194" s="1"/>
  <c r="CY194"/>
  <c r="X194" s="1"/>
  <c r="GM194" s="1"/>
  <c r="GN194" s="1"/>
  <c r="CZ218"/>
  <c r="Y218" s="1"/>
  <c r="CY218"/>
  <c r="X218" s="1"/>
  <c r="CP52"/>
  <c r="O52" s="1"/>
  <c r="GM52" s="1"/>
  <c r="GN52" s="1"/>
  <c r="V48"/>
  <c r="EA67" s="1"/>
  <c r="DV67"/>
  <c r="CP40"/>
  <c r="O40" s="1"/>
  <c r="GM40" s="1"/>
  <c r="GN40" s="1"/>
  <c r="R48"/>
  <c r="GK48" s="1"/>
  <c r="GM37"/>
  <c r="GN37" s="1"/>
  <c r="GX48"/>
  <c r="GB67" s="1"/>
  <c r="EB67"/>
  <c r="GM142"/>
  <c r="GN142" s="1"/>
  <c r="CP145"/>
  <c r="O145" s="1"/>
  <c r="GM145" s="1"/>
  <c r="GN145" s="1"/>
  <c r="GM65"/>
  <c r="GN65" s="1"/>
  <c r="V153"/>
  <c r="AI222" s="1"/>
  <c r="GX153"/>
  <c r="CJ222" s="1"/>
  <c r="GM184"/>
  <c r="GN184" s="1"/>
  <c r="CP203"/>
  <c r="O203" s="1"/>
  <c r="GM203" s="1"/>
  <c r="GN203" s="1"/>
  <c r="GM174"/>
  <c r="GN174" s="1"/>
  <c r="P153"/>
  <c r="CP153" s="1"/>
  <c r="O153" s="1"/>
  <c r="EA222"/>
  <c r="CP170"/>
  <c r="O170" s="1"/>
  <c r="GM170" s="1"/>
  <c r="GN170" s="1"/>
  <c r="CP208"/>
  <c r="O208" s="1"/>
  <c r="GM208" s="1"/>
  <c r="GN208" s="1"/>
  <c r="CP205"/>
  <c r="O205" s="1"/>
  <c r="GM205" s="1"/>
  <c r="GN205" s="1"/>
  <c r="CJ133" l="1"/>
  <c r="BA222"/>
  <c r="AL30"/>
  <c r="Y67"/>
  <c r="EA30"/>
  <c r="DN67"/>
  <c r="AD133"/>
  <c r="Q222"/>
  <c r="DZ30"/>
  <c r="DM67"/>
  <c r="AG133"/>
  <c r="T222"/>
  <c r="AI133"/>
  <c r="V222"/>
  <c r="EB30"/>
  <c r="DO67"/>
  <c r="AT129"/>
  <c r="F270"/>
  <c r="DW30"/>
  <c r="DJ67"/>
  <c r="AZ133"/>
  <c r="AZ252"/>
  <c r="F233"/>
  <c r="AX26"/>
  <c r="F104"/>
  <c r="AX282"/>
  <c r="AU129"/>
  <c r="F271"/>
  <c r="CZ220"/>
  <c r="Y220" s="1"/>
  <c r="CY220"/>
  <c r="X220" s="1"/>
  <c r="DI133"/>
  <c r="P234"/>
  <c r="DI252"/>
  <c r="EP30"/>
  <c r="P74"/>
  <c r="EP97"/>
  <c r="AF30"/>
  <c r="S67"/>
  <c r="AX133"/>
  <c r="F229"/>
  <c r="AX252"/>
  <c r="DM133"/>
  <c r="P244"/>
  <c r="DM252"/>
  <c r="DX133"/>
  <c r="DK222"/>
  <c r="EL26"/>
  <c r="P115"/>
  <c r="EL282"/>
  <c r="ER26"/>
  <c r="P108"/>
  <c r="ER282"/>
  <c r="AC30"/>
  <c r="CH67"/>
  <c r="CF67"/>
  <c r="P67"/>
  <c r="CE67"/>
  <c r="DT222"/>
  <c r="AK67"/>
  <c r="AC222"/>
  <c r="DX30"/>
  <c r="DK67"/>
  <c r="EV26"/>
  <c r="P122"/>
  <c r="EV282"/>
  <c r="EA133"/>
  <c r="DN222"/>
  <c r="EI129"/>
  <c r="P262"/>
  <c r="EV129"/>
  <c r="P277"/>
  <c r="CZ159"/>
  <c r="Y159" s="1"/>
  <c r="CY159"/>
  <c r="X159" s="1"/>
  <c r="GM159" s="1"/>
  <c r="GN159" s="1"/>
  <c r="AT26"/>
  <c r="F115"/>
  <c r="AT282"/>
  <c r="GN136"/>
  <c r="EM26"/>
  <c r="P116"/>
  <c r="EM282"/>
  <c r="AQ26"/>
  <c r="F107"/>
  <c r="AQ282"/>
  <c r="EG129"/>
  <c r="P256"/>
  <c r="ET129"/>
  <c r="P265"/>
  <c r="BD129"/>
  <c r="F277"/>
  <c r="T30"/>
  <c r="T97"/>
  <c r="F88"/>
  <c r="AP26"/>
  <c r="F106"/>
  <c r="AP282"/>
  <c r="GM218"/>
  <c r="GN218" s="1"/>
  <c r="GM192"/>
  <c r="GN192" s="1"/>
  <c r="AF222"/>
  <c r="GM216"/>
  <c r="GN216" s="1"/>
  <c r="CP178"/>
  <c r="O178" s="1"/>
  <c r="GM178" s="1"/>
  <c r="GN178" s="1"/>
  <c r="CP48"/>
  <c r="O48" s="1"/>
  <c r="GM138"/>
  <c r="GN138" s="1"/>
  <c r="GB30"/>
  <c r="ES67"/>
  <c r="DV30"/>
  <c r="DI67"/>
  <c r="EP133"/>
  <c r="P229"/>
  <c r="EP252"/>
  <c r="ET26"/>
  <c r="P110"/>
  <c r="ET282"/>
  <c r="BC26"/>
  <c r="F113"/>
  <c r="BC282"/>
  <c r="GN34"/>
  <c r="EG26"/>
  <c r="P101"/>
  <c r="EG282"/>
  <c r="DY133"/>
  <c r="DL222"/>
  <c r="AJ133"/>
  <c r="W222"/>
  <c r="AQ129"/>
  <c r="F262"/>
  <c r="CZ153"/>
  <c r="Y153" s="1"/>
  <c r="AL222" s="1"/>
  <c r="CY153"/>
  <c r="X153" s="1"/>
  <c r="GM153" s="1"/>
  <c r="GN153" s="1"/>
  <c r="V30"/>
  <c r="F90"/>
  <c r="V97"/>
  <c r="AZ30"/>
  <c r="F78"/>
  <c r="AZ97"/>
  <c r="BC129"/>
  <c r="F268"/>
  <c r="BA26"/>
  <c r="F117"/>
  <c r="EH26"/>
  <c r="P106"/>
  <c r="EH282"/>
  <c r="EU26"/>
  <c r="P113"/>
  <c r="EU282"/>
  <c r="DU30"/>
  <c r="FX67"/>
  <c r="DH67"/>
  <c r="FW67"/>
  <c r="FZ67"/>
  <c r="AO129"/>
  <c r="F256"/>
  <c r="ER129"/>
  <c r="P263"/>
  <c r="AO26"/>
  <c r="F101"/>
  <c r="AO282"/>
  <c r="AU26"/>
  <c r="F116"/>
  <c r="AU282"/>
  <c r="Q30"/>
  <c r="F79"/>
  <c r="Q97"/>
  <c r="DL30"/>
  <c r="P88"/>
  <c r="DL97"/>
  <c r="AB222"/>
  <c r="AE222"/>
  <c r="ED222"/>
  <c r="BD26"/>
  <c r="F122"/>
  <c r="BD282"/>
  <c r="EI26"/>
  <c r="P107"/>
  <c r="EI282"/>
  <c r="AE30"/>
  <c r="R67"/>
  <c r="EB133"/>
  <c r="DO222"/>
  <c r="AH133"/>
  <c r="U222"/>
  <c r="EM129"/>
  <c r="P271"/>
  <c r="BB129"/>
  <c r="F265"/>
  <c r="EH129"/>
  <c r="P261"/>
  <c r="GN137"/>
  <c r="FT222" s="1"/>
  <c r="FS222"/>
  <c r="GN33"/>
  <c r="EU129"/>
  <c r="P268"/>
  <c r="EL129"/>
  <c r="P270"/>
  <c r="W26"/>
  <c r="F121"/>
  <c r="BB26"/>
  <c r="F110"/>
  <c r="BB282"/>
  <c r="CZ48"/>
  <c r="Y48" s="1"/>
  <c r="ED67" s="1"/>
  <c r="CY48"/>
  <c r="X48" s="1"/>
  <c r="EC67" s="1"/>
  <c r="ES133"/>
  <c r="P242"/>
  <c r="ES252"/>
  <c r="DW133"/>
  <c r="DJ222"/>
  <c r="AP129"/>
  <c r="F261"/>
  <c r="U26"/>
  <c r="F119"/>
  <c r="DU133"/>
  <c r="FX222"/>
  <c r="DH222"/>
  <c r="FW222"/>
  <c r="FZ222"/>
  <c r="GM35"/>
  <c r="GN35" s="1"/>
  <c r="AB67"/>
  <c r="CP220"/>
  <c r="O220" s="1"/>
  <c r="GM220" s="1"/>
  <c r="GN220" s="1"/>
  <c r="EC222"/>
  <c r="DT67"/>
  <c r="AL133" l="1"/>
  <c r="Y222"/>
  <c r="ED30"/>
  <c r="DQ67"/>
  <c r="DT30"/>
  <c r="DG67"/>
  <c r="FX133"/>
  <c r="EO222"/>
  <c r="EC30"/>
  <c r="DP67"/>
  <c r="DO133"/>
  <c r="P246"/>
  <c r="DO252"/>
  <c r="EI22"/>
  <c r="EI312"/>
  <c r="P292"/>
  <c r="AB133"/>
  <c r="O222"/>
  <c r="Q26"/>
  <c r="F109"/>
  <c r="FX30"/>
  <c r="EO67"/>
  <c r="V26"/>
  <c r="F120"/>
  <c r="BC22"/>
  <c r="F298"/>
  <c r="BC312"/>
  <c r="EM22"/>
  <c r="P301"/>
  <c r="EM312"/>
  <c r="EV22"/>
  <c r="P307"/>
  <c r="EV312"/>
  <c r="CH30"/>
  <c r="AY67"/>
  <c r="DK133"/>
  <c r="P237"/>
  <c r="DK252"/>
  <c r="S30"/>
  <c r="S97"/>
  <c r="F82"/>
  <c r="AX22"/>
  <c r="AX312"/>
  <c r="F289"/>
  <c r="AZ129"/>
  <c r="F263"/>
  <c r="V133"/>
  <c r="F245"/>
  <c r="V252"/>
  <c r="V282" s="1"/>
  <c r="T133"/>
  <c r="T252"/>
  <c r="F243"/>
  <c r="Q133"/>
  <c r="Q252"/>
  <c r="Q282" s="1"/>
  <c r="F234"/>
  <c r="CA67"/>
  <c r="AK222"/>
  <c r="CB222"/>
  <c r="AB30"/>
  <c r="O67"/>
  <c r="DJ133"/>
  <c r="P236"/>
  <c r="DJ252"/>
  <c r="FT133"/>
  <c r="EK222"/>
  <c r="BD22"/>
  <c r="BD312"/>
  <c r="F307"/>
  <c r="AE133"/>
  <c r="R222"/>
  <c r="AU22"/>
  <c r="AU312"/>
  <c r="F301"/>
  <c r="DH30"/>
  <c r="P70"/>
  <c r="DH97"/>
  <c r="W133"/>
  <c r="F246"/>
  <c r="W252"/>
  <c r="EG22"/>
  <c r="EG312"/>
  <c r="P286"/>
  <c r="ET22"/>
  <c r="P295"/>
  <c r="ET312"/>
  <c r="ES30"/>
  <c r="P87"/>
  <c r="ES97"/>
  <c r="DK30"/>
  <c r="P82"/>
  <c r="DK97"/>
  <c r="DT133"/>
  <c r="DG222"/>
  <c r="CF30"/>
  <c r="AW67"/>
  <c r="BA133"/>
  <c r="F242"/>
  <c r="BA252"/>
  <c r="CA222"/>
  <c r="FS133"/>
  <c r="EJ222"/>
  <c r="U133"/>
  <c r="U252"/>
  <c r="F244"/>
  <c r="R30"/>
  <c r="F81"/>
  <c r="R97"/>
  <c r="ED133"/>
  <c r="DQ222"/>
  <c r="AO22"/>
  <c r="AO312"/>
  <c r="F286"/>
  <c r="FW30"/>
  <c r="EN67"/>
  <c r="EU22"/>
  <c r="EU312"/>
  <c r="P298"/>
  <c r="EP129"/>
  <c r="P259"/>
  <c r="DN133"/>
  <c r="DN252"/>
  <c r="P245"/>
  <c r="AK30"/>
  <c r="X67"/>
  <c r="P30"/>
  <c r="P97"/>
  <c r="F70"/>
  <c r="ER22"/>
  <c r="P293"/>
  <c r="ER312"/>
  <c r="DM129"/>
  <c r="P274"/>
  <c r="EP26"/>
  <c r="P104"/>
  <c r="EP282"/>
  <c r="DJ30"/>
  <c r="P81"/>
  <c r="DJ97"/>
  <c r="DO30"/>
  <c r="DO97"/>
  <c r="P91"/>
  <c r="DM30"/>
  <c r="DM97"/>
  <c r="P89"/>
  <c r="DN30"/>
  <c r="P90"/>
  <c r="DN97"/>
  <c r="GM48"/>
  <c r="DH133"/>
  <c r="P225"/>
  <c r="DH252"/>
  <c r="FW133"/>
  <c r="EN222"/>
  <c r="BB22"/>
  <c r="BB312"/>
  <c r="F295"/>
  <c r="EC133"/>
  <c r="DP222"/>
  <c r="FZ133"/>
  <c r="EQ222"/>
  <c r="ES129"/>
  <c r="P272"/>
  <c r="DL26"/>
  <c r="P118"/>
  <c r="FZ30"/>
  <c r="EQ67"/>
  <c r="EH22"/>
  <c r="P291"/>
  <c r="G16" i="2" s="1"/>
  <c r="G18" s="1"/>
  <c r="EH312" i="1"/>
  <c r="AZ26"/>
  <c r="F108"/>
  <c r="AZ282"/>
  <c r="DL133"/>
  <c r="P243"/>
  <c r="DL252"/>
  <c r="DL282" s="1"/>
  <c r="DI30"/>
  <c r="DI97"/>
  <c r="P79"/>
  <c r="AF133"/>
  <c r="S222"/>
  <c r="AP22"/>
  <c r="AP312"/>
  <c r="F291"/>
  <c r="V16" i="2" s="1"/>
  <c r="V18" s="1"/>
  <c r="T26" i="1"/>
  <c r="F118"/>
  <c r="T282"/>
  <c r="AQ22"/>
  <c r="F292"/>
  <c r="AQ312"/>
  <c r="AT22"/>
  <c r="AT312"/>
  <c r="F300"/>
  <c r="AC133"/>
  <c r="P222"/>
  <c r="CE222"/>
  <c r="CH222"/>
  <c r="CF222"/>
  <c r="CE30"/>
  <c r="AV67"/>
  <c r="EL22"/>
  <c r="EL312"/>
  <c r="P300"/>
  <c r="AX129"/>
  <c r="F259"/>
  <c r="DI129"/>
  <c r="P264"/>
  <c r="Y30"/>
  <c r="F94"/>
  <c r="Y97"/>
  <c r="CB67"/>
  <c r="V22" l="1"/>
  <c r="V312"/>
  <c r="F305"/>
  <c r="Q22"/>
  <c r="Q312"/>
  <c r="F294"/>
  <c r="DL22"/>
  <c r="P303"/>
  <c r="DL312"/>
  <c r="P133"/>
  <c r="P252"/>
  <c r="F225"/>
  <c r="EQ30"/>
  <c r="EQ97"/>
  <c r="P75"/>
  <c r="EP22"/>
  <c r="P289"/>
  <c r="EP312"/>
  <c r="AV30"/>
  <c r="F72"/>
  <c r="AV97"/>
  <c r="CE133"/>
  <c r="AV222"/>
  <c r="CH133"/>
  <c r="AY222"/>
  <c r="S133"/>
  <c r="S252"/>
  <c r="F237"/>
  <c r="AZ22"/>
  <c r="F293"/>
  <c r="AZ312"/>
  <c r="Y26"/>
  <c r="F124"/>
  <c r="EL18"/>
  <c r="P330"/>
  <c r="CF133"/>
  <c r="AW222"/>
  <c r="AQ18"/>
  <c r="F322"/>
  <c r="DI26"/>
  <c r="P109"/>
  <c r="DI282"/>
  <c r="EH18"/>
  <c r="P321"/>
  <c r="DP133"/>
  <c r="P248"/>
  <c r="DP252"/>
  <c r="DJ26"/>
  <c r="P111"/>
  <c r="DJ282"/>
  <c r="ER18"/>
  <c r="P323"/>
  <c r="P26"/>
  <c r="F100"/>
  <c r="P282"/>
  <c r="EN30"/>
  <c r="EN97"/>
  <c r="P72"/>
  <c r="AW30"/>
  <c r="F73"/>
  <c r="AW97"/>
  <c r="DK26"/>
  <c r="P112"/>
  <c r="DK282"/>
  <c r="W129"/>
  <c r="F276"/>
  <c r="W282"/>
  <c r="BD18"/>
  <c r="F337"/>
  <c r="DJ129"/>
  <c r="P266"/>
  <c r="T129"/>
  <c r="F273"/>
  <c r="AX18"/>
  <c r="F319"/>
  <c r="AY30"/>
  <c r="F75"/>
  <c r="AY97"/>
  <c r="BC18"/>
  <c r="F328"/>
  <c r="DO129"/>
  <c r="P276"/>
  <c r="AP18"/>
  <c r="F321"/>
  <c r="DH129"/>
  <c r="P255"/>
  <c r="AO18"/>
  <c r="F316"/>
  <c r="R26"/>
  <c r="F111"/>
  <c r="U129"/>
  <c r="F274"/>
  <c r="U282"/>
  <c r="CA133"/>
  <c r="AR222"/>
  <c r="ES26"/>
  <c r="P117"/>
  <c r="ES282"/>
  <c r="DH26"/>
  <c r="P100"/>
  <c r="DH282"/>
  <c r="AU18"/>
  <c r="F331"/>
  <c r="O30"/>
  <c r="F69"/>
  <c r="O97"/>
  <c r="CA30"/>
  <c r="AR67"/>
  <c r="S26"/>
  <c r="F112"/>
  <c r="S282"/>
  <c r="O133"/>
  <c r="O252"/>
  <c r="F224"/>
  <c r="DP30"/>
  <c r="DP97"/>
  <c r="P93"/>
  <c r="DG30"/>
  <c r="DG97"/>
  <c r="P69"/>
  <c r="Y133"/>
  <c r="Y252"/>
  <c r="Y282" s="1"/>
  <c r="F249"/>
  <c r="CB30"/>
  <c r="AS67"/>
  <c r="DN26"/>
  <c r="P120"/>
  <c r="DN282"/>
  <c r="AT18"/>
  <c r="F330"/>
  <c r="DL129"/>
  <c r="P273"/>
  <c r="EQ133"/>
  <c r="P230"/>
  <c r="EQ252"/>
  <c r="GN48"/>
  <c r="FT67" s="1"/>
  <c r="FS67"/>
  <c r="DO26"/>
  <c r="P121"/>
  <c r="DO282"/>
  <c r="X30"/>
  <c r="F93"/>
  <c r="X97"/>
  <c r="EU18"/>
  <c r="P328"/>
  <c r="DG133"/>
  <c r="P224"/>
  <c r="DG252"/>
  <c r="ET18"/>
  <c r="P325"/>
  <c r="EG18"/>
  <c r="P316"/>
  <c r="F343"/>
  <c r="EK133"/>
  <c r="EK252"/>
  <c r="P239"/>
  <c r="AK133"/>
  <c r="X222"/>
  <c r="V129"/>
  <c r="F275"/>
  <c r="EV18"/>
  <c r="P337"/>
  <c r="P343"/>
  <c r="EO30"/>
  <c r="P73"/>
  <c r="EO97"/>
  <c r="EI18"/>
  <c r="P322"/>
  <c r="P342"/>
  <c r="F16" i="2"/>
  <c r="F18" s="1"/>
  <c r="T22" i="1"/>
  <c r="F303"/>
  <c r="T312"/>
  <c r="BB18"/>
  <c r="F325"/>
  <c r="DM26"/>
  <c r="P119"/>
  <c r="DM282"/>
  <c r="F342"/>
  <c r="U16" i="2"/>
  <c r="U18" s="1"/>
  <c r="EN133" i="1"/>
  <c r="EN252"/>
  <c r="P227"/>
  <c r="DN129"/>
  <c r="P275"/>
  <c r="DQ133"/>
  <c r="DQ252"/>
  <c r="P249"/>
  <c r="EJ133"/>
  <c r="P250"/>
  <c r="EJ252"/>
  <c r="BA129"/>
  <c r="F272"/>
  <c r="BA282"/>
  <c r="R133"/>
  <c r="F236"/>
  <c r="R252"/>
  <c r="CB133"/>
  <c r="AS222"/>
  <c r="Q129"/>
  <c r="F264"/>
  <c r="DK129"/>
  <c r="P267"/>
  <c r="EM18"/>
  <c r="P331"/>
  <c r="EO133"/>
  <c r="P228"/>
  <c r="EO252"/>
  <c r="DQ30"/>
  <c r="DQ97"/>
  <c r="P94"/>
  <c r="Y22" l="1"/>
  <c r="F309"/>
  <c r="Y312"/>
  <c r="DQ26"/>
  <c r="P124"/>
  <c r="DQ282"/>
  <c r="EN129"/>
  <c r="P257"/>
  <c r="DQ129"/>
  <c r="P279"/>
  <c r="R129"/>
  <c r="F266"/>
  <c r="T18"/>
  <c r="F333"/>
  <c r="X133"/>
  <c r="F248"/>
  <c r="X252"/>
  <c r="X26"/>
  <c r="F123"/>
  <c r="EQ129"/>
  <c r="P260"/>
  <c r="DG26"/>
  <c r="P99"/>
  <c r="DG282"/>
  <c r="S22"/>
  <c r="S312"/>
  <c r="F297"/>
  <c r="AR133"/>
  <c r="AR252"/>
  <c r="F250"/>
  <c r="DK22"/>
  <c r="P297"/>
  <c r="DK312"/>
  <c r="AY133"/>
  <c r="F230"/>
  <c r="AY252"/>
  <c r="AV26"/>
  <c r="F102"/>
  <c r="DL18"/>
  <c r="P333"/>
  <c r="Q18"/>
  <c r="F324"/>
  <c r="EO26"/>
  <c r="P103"/>
  <c r="EO282"/>
  <c r="EK129"/>
  <c r="P269"/>
  <c r="DG129"/>
  <c r="P254"/>
  <c r="DO22"/>
  <c r="DO312"/>
  <c r="P306"/>
  <c r="FT30"/>
  <c r="EK67"/>
  <c r="DN22"/>
  <c r="P305"/>
  <c r="DN312"/>
  <c r="DP26"/>
  <c r="P123"/>
  <c r="DP282"/>
  <c r="AR30"/>
  <c r="F95"/>
  <c r="AR97"/>
  <c r="AW26"/>
  <c r="F103"/>
  <c r="EN26"/>
  <c r="P102"/>
  <c r="EN282"/>
  <c r="AW133"/>
  <c r="F228"/>
  <c r="AW252"/>
  <c r="EP18"/>
  <c r="P319"/>
  <c r="EQ26"/>
  <c r="P105"/>
  <c r="EQ282"/>
  <c r="V18"/>
  <c r="F335"/>
  <c r="EJ129"/>
  <c r="P280"/>
  <c r="FS30"/>
  <c r="EJ67"/>
  <c r="AS30"/>
  <c r="F84"/>
  <c r="AS97"/>
  <c r="O129"/>
  <c r="F254"/>
  <c r="DH22"/>
  <c r="P285"/>
  <c r="DH312"/>
  <c r="U22"/>
  <c r="U312"/>
  <c r="F304"/>
  <c r="AY26"/>
  <c r="F105"/>
  <c r="AY282"/>
  <c r="DJ22"/>
  <c r="P296"/>
  <c r="DJ312"/>
  <c r="DI22"/>
  <c r="DI312"/>
  <c r="P294"/>
  <c r="AZ18"/>
  <c r="F323"/>
  <c r="S129"/>
  <c r="F267"/>
  <c r="AV133"/>
  <c r="AV252"/>
  <c r="F227"/>
  <c r="P129"/>
  <c r="F255"/>
  <c r="BA22"/>
  <c r="BA312"/>
  <c r="F302"/>
  <c r="W16" i="2" s="1"/>
  <c r="W18" s="1"/>
  <c r="DM22" i="1"/>
  <c r="P304"/>
  <c r="DM312"/>
  <c r="AS133"/>
  <c r="F239"/>
  <c r="AS252"/>
  <c r="EO129"/>
  <c r="P258"/>
  <c r="Y129"/>
  <c r="F279"/>
  <c r="O26"/>
  <c r="F99"/>
  <c r="O282"/>
  <c r="ES22"/>
  <c r="P302"/>
  <c r="H16" i="2" s="1"/>
  <c r="H18" s="1"/>
  <c r="ES312" i="1"/>
  <c r="W22"/>
  <c r="W312"/>
  <c r="F306"/>
  <c r="P22"/>
  <c r="P312"/>
  <c r="F285"/>
  <c r="DP129"/>
  <c r="P278"/>
  <c r="R282"/>
  <c r="DH18" l="1"/>
  <c r="P315"/>
  <c r="EJ30"/>
  <c r="EJ97"/>
  <c r="P95"/>
  <c r="AR26"/>
  <c r="F125"/>
  <c r="AR282"/>
  <c r="DO18"/>
  <c r="P336"/>
  <c r="AY129"/>
  <c r="F260"/>
  <c r="DG22"/>
  <c r="DG312"/>
  <c r="P284"/>
  <c r="X129"/>
  <c r="F278"/>
  <c r="J16" i="2"/>
  <c r="J18" s="1"/>
  <c r="O22" i="1"/>
  <c r="O312"/>
  <c r="F284"/>
  <c r="DJ18"/>
  <c r="P326"/>
  <c r="AW129"/>
  <c r="F258"/>
  <c r="DP22"/>
  <c r="DP312"/>
  <c r="P308"/>
  <c r="DK18"/>
  <c r="P327"/>
  <c r="AR129"/>
  <c r="F280"/>
  <c r="DQ22"/>
  <c r="P309"/>
  <c r="DQ312"/>
  <c r="ES18"/>
  <c r="P332"/>
  <c r="R22"/>
  <c r="R312"/>
  <c r="F296"/>
  <c r="Y16" i="2" s="1"/>
  <c r="Y18" s="1"/>
  <c r="W18" i="1"/>
  <c r="F336"/>
  <c r="AS129"/>
  <c r="F269"/>
  <c r="AV129"/>
  <c r="F257"/>
  <c r="AY22"/>
  <c r="F290"/>
  <c r="AY312"/>
  <c r="U18"/>
  <c r="F334"/>
  <c r="EQ22"/>
  <c r="EQ312"/>
  <c r="P290"/>
  <c r="EN22"/>
  <c r="P287"/>
  <c r="EN312"/>
  <c r="DN18"/>
  <c r="P335"/>
  <c r="EO22"/>
  <c r="P288"/>
  <c r="EO312"/>
  <c r="S18"/>
  <c r="F327"/>
  <c r="Y18"/>
  <c r="F339"/>
  <c r="P18"/>
  <c r="F315"/>
  <c r="DM18"/>
  <c r="P334"/>
  <c r="BA18"/>
  <c r="F332"/>
  <c r="DI18"/>
  <c r="P324"/>
  <c r="AS26"/>
  <c r="F114"/>
  <c r="AS282"/>
  <c r="EK30"/>
  <c r="P84"/>
  <c r="EK97"/>
  <c r="AW282"/>
  <c r="AV282"/>
  <c r="X282"/>
  <c r="AW22" l="1"/>
  <c r="AW312"/>
  <c r="F288"/>
  <c r="AS22"/>
  <c r="F299"/>
  <c r="T16" i="2" s="1"/>
  <c r="AS312" i="1"/>
  <c r="EN18"/>
  <c r="P317"/>
  <c r="EQ18"/>
  <c r="P320"/>
  <c r="AY18"/>
  <c r="F320"/>
  <c r="EO18"/>
  <c r="P318"/>
  <c r="DG18"/>
  <c r="P314"/>
  <c r="R18"/>
  <c r="F326"/>
  <c r="DQ18"/>
  <c r="P339"/>
  <c r="DP18"/>
  <c r="P338"/>
  <c r="AV22"/>
  <c r="F287"/>
  <c r="AV312"/>
  <c r="X22"/>
  <c r="F308"/>
  <c r="X312"/>
  <c r="EK26"/>
  <c r="P114"/>
  <c r="EK282"/>
  <c r="O18"/>
  <c r="F314"/>
  <c r="AR22"/>
  <c r="AR312"/>
  <c r="F310"/>
  <c r="EJ26"/>
  <c r="P125"/>
  <c r="EJ282"/>
  <c r="AV18" l="1"/>
  <c r="F317"/>
  <c r="X16" i="2"/>
  <c r="X18" s="1"/>
  <c r="T18"/>
  <c r="AS18" i="1"/>
  <c r="F329"/>
  <c r="AW18"/>
  <c r="F318"/>
  <c r="EJ22"/>
  <c r="EJ312"/>
  <c r="P310"/>
  <c r="AR18"/>
  <c r="F340"/>
  <c r="F341" s="1"/>
  <c r="EK22"/>
  <c r="P299"/>
  <c r="E16" i="2" s="1"/>
  <c r="EK312" i="1"/>
  <c r="X18"/>
  <c r="F338"/>
  <c r="EJ18" l="1"/>
  <c r="P340"/>
  <c r="P341" s="1"/>
  <c r="E18" i="2"/>
  <c r="I16"/>
  <c r="I18" s="1"/>
  <c r="EK18" i="1"/>
  <c r="P329"/>
</calcChain>
</file>

<file path=xl/sharedStrings.xml><?xml version="1.0" encoding="utf-8"?>
<sst xmlns="http://schemas.openxmlformats.org/spreadsheetml/2006/main" count="6403" uniqueCount="340">
  <si>
    <t>Smeta.RU  (495) 974-1589</t>
  </si>
  <si>
    <t>_PS_</t>
  </si>
  <si>
    <t>Smeta.RU</t>
  </si>
  <si>
    <t>АО "СПКБРР"  Доп. раб. место  MCCS-0021997</t>
  </si>
  <si>
    <t>(ТСН-2001 (Мосгосэкспертиза))</t>
  </si>
  <si>
    <t>02-01-04. Благоустройство _24.05.25.</t>
  </si>
  <si>
    <t/>
  </si>
  <si>
    <t>Сметные нормы списания</t>
  </si>
  <si>
    <t>Коды ОКП для ТСН-2001 МГЭ Дополнение 75</t>
  </si>
  <si>
    <t>ТСН-2001 (МГЭ) Доп 75 - Новое строительство</t>
  </si>
  <si>
    <t>Типовой расчет для ТСН-2001 МГЭ, Новая методика с выпуска доп. 43 (Строительство), Доп 75</t>
  </si>
  <si>
    <t>Территориальные сметные нормативы для Москвы ТСН-2001 (МГЭ), дополнение 75</t>
  </si>
  <si>
    <t>Поправки для ТСН-2001 от 25.12.2024 г. доп.75</t>
  </si>
  <si>
    <t>Территориальные сметные нормативы для Москвы (ТСН-2001)</t>
  </si>
  <si>
    <t>ТЕР</t>
  </si>
  <si>
    <t>02-01-04</t>
  </si>
  <si>
    <t>Благоустройство</t>
  </si>
  <si>
    <t>ДУ.ЭТ-2025-02-02-КЛ10.ЭС</t>
  </si>
  <si>
    <t>Строительство 2КЛ-10кВ от ТП 28274 до СП 60401 для двухстороннего резервирования  электроснабжения объектов от собственных сетей (ЖК «Юрлово» по адресу: г. Москва,  Юрловский проезд, 14 (СП 60401) и ТП 28274 по адресу: г. Москва, Алтуфьевское ш. 35).</t>
  </si>
  <si>
    <t>Новый раздел</t>
  </si>
  <si>
    <t>Газон</t>
  </si>
  <si>
    <t>Новый подраздел</t>
  </si>
  <si>
    <t>Газон  направлением  СП 60401 до ТП 28274</t>
  </si>
  <si>
    <t>по траншее (800 м2)</t>
  </si>
  <si>
    <t>1</t>
  </si>
  <si>
    <t>3.47-26-3</t>
  </si>
  <si>
    <t>Подготовка почвы для устройства партерного и обыкновенного газонов с внесением растительной земли слоем 15 см механизированным способом</t>
  </si>
  <si>
    <t>100 м2</t>
  </si>
  <si>
    <t>ТСН-2001.3 Доп. 74, Сб. 47, т. 26, поз. 3</t>
  </si>
  <si>
    <t>Строительные работы</t>
  </si>
  <si>
    <t>ТСН-2001.3-47. 47-23...47-33</t>
  </si>
  <si>
    <t>ТСН-2001.3-47-4</t>
  </si>
  <si>
    <t>1,1</t>
  </si>
  <si>
    <t>1.4-6-1</t>
  </si>
  <si>
    <t>Земля растительная</t>
  </si>
  <si>
    <t>м3</t>
  </si>
  <si>
    <t>ТСН-2001.1. Доп. 1-42. Р. 4, о. 6, поз. 1</t>
  </si>
  <si>
    <t>2</t>
  </si>
  <si>
    <t>3.47-26-4</t>
  </si>
  <si>
    <t>Подготовка почвы для устройства партерного и обыкновенного газонов с внесением растительной земли слоем 15 см вручную</t>
  </si>
  <si>
    <t>ТСН-2001.3. Доп. 1-42. Сб. 47, т. 26, поз. 4</t>
  </si>
  <si>
    <t>2,1</t>
  </si>
  <si>
    <t>3</t>
  </si>
  <si>
    <t>3.47-26-5</t>
  </si>
  <si>
    <t>Подготовка почвы для устройства партерного и обыкновенного газонов на каждые 5 см изменения толщины слоя добавлять или исключать</t>
  </si>
  <si>
    <t>ТСН-2001.3. Доп. 1-42. Сб. 47, т. 26, поз. 5</t>
  </si>
  <si>
    <t>3,1</t>
  </si>
  <si>
    <t>4</t>
  </si>
  <si>
    <t>3.47-26-6</t>
  </si>
  <si>
    <t>Посев газонов партерных, мавританских, и обыкновенных вручную</t>
  </si>
  <si>
    <t>ТСН-2001.3. Доп. 1-42. Сб. 47, т. 26, поз. 6</t>
  </si>
  <si>
    <t>4,1</t>
  </si>
  <si>
    <t>1.4-6-6</t>
  </si>
  <si>
    <t>Семена (смесь универсальная) газонных трав</t>
  </si>
  <si>
    <t>кг</t>
  </si>
  <si>
    <t>ТСН-2001.1. Доп. 1-42. Р. 4, о. 6, поз. 6</t>
  </si>
  <si>
    <t>в зоне СМР  (3000м2)</t>
  </si>
  <si>
    <t>5</t>
  </si>
  <si>
    <t>5,1</t>
  </si>
  <si>
    <t>6</t>
  </si>
  <si>
    <t>6,1</t>
  </si>
  <si>
    <t>7</t>
  </si>
  <si>
    <t>*2</t>
  </si>
  <si>
    <t>7,1</t>
  </si>
  <si>
    <t>8</t>
  </si>
  <si>
    <t>8,1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</si>
  <si>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</si>
  <si>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</si>
  <si>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</si>
  <si>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</si>
  <si>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</si>
  <si>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</si>
  <si>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</si>
  <si>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</si>
  <si>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</si>
  <si>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</si>
  <si>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</si>
  <si>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</si>
  <si>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</si>
  <si>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</si>
  <si>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</si>
  <si>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</si>
  <si>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</si>
  <si>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</si>
  <si>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</si>
  <si>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</si>
  <si>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</si>
  <si>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</si>
  <si>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</si>
  <si>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</si>
  <si>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</si>
  <si>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</si>
  <si>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</si>
  <si>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</si>
  <si>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</si>
  <si>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</si>
  <si>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</si>
  <si>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</si>
  <si>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</si>
  <si>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</si>
  <si>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</si>
  <si>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</si>
  <si>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</si>
  <si>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</si>
  <si>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</si>
  <si>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</si>
  <si>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</si>
  <si>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</si>
  <si>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</si>
  <si>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</si>
  <si>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</si>
  <si>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</si>
  <si>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</si>
  <si>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</si>
  <si>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</si>
  <si>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</si>
  <si>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</si>
  <si>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</si>
  <si>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</si>
  <si>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</si>
  <si>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Разборка и восстановление  покрытий  направлением  СП 60401 - ТП 28274</t>
  </si>
  <si>
    <t>Разборка проезжей части  по траншее ( 1514,4 м2)</t>
  </si>
  <si>
    <t>9</t>
  </si>
  <si>
    <t>6.68-51-4</t>
  </si>
  <si>
    <t>Разборка покрытий и оснований асфальтобетонных</t>
  </si>
  <si>
    <t>100 м3 конструкций</t>
  </si>
  <si>
    <t>ТСН-2001.6 Доп. 68, Сб. 68, т. 51, поз. 4</t>
  </si>
  <si>
    <t>Ремонтно-строительные работы</t>
  </si>
  <si>
    <t>ТСН-2001.6-68. 68-51...68-53</t>
  </si>
  <si>
    <t>ТСН-2001.6-68-21</t>
  </si>
  <si>
    <t>10</t>
  </si>
  <si>
    <t>6.68-51-5</t>
  </si>
  <si>
    <t>Разборка покрытий и оснований цементобетонных</t>
  </si>
  <si>
    <t>ТСН-2001.6 Доп. 68, Сб. 68, т. 51, поз. 5</t>
  </si>
  <si>
    <t>11</t>
  </si>
  <si>
    <t>6.68-51-2</t>
  </si>
  <si>
    <t>Разборка покрытий и оснований щебеночных</t>
  </si>
  <si>
    <t>ТСН-2001.6 Доп. 68, Сб. 68, т. 51, поз. 2</t>
  </si>
  <si>
    <t>12</t>
  </si>
  <si>
    <t>6.68-13-1</t>
  </si>
  <si>
    <t>Механизированная погрузка строительного мусора в автомобили-самосвалы</t>
  </si>
  <si>
    <t>1 Т</t>
  </si>
  <si>
    <t>ТСН-2001.6. Доп. 1-42. Сб. 68, т. 13, поз. 1</t>
  </si>
  <si>
    <t>ТСН-2001.6-68. 68-13</t>
  </si>
  <si>
    <t>ТСН-2001.6-68-5</t>
  </si>
  <si>
    <t>Восстановление а/б покрытия ппроезжей части</t>
  </si>
  <si>
    <t>13</t>
  </si>
  <si>
    <t>3.27-69-1</t>
  </si>
  <si>
    <t>Устройство прослойки из нетканого синтетического материала (НСМ) в земляном полотне сплошной</t>
  </si>
  <si>
    <t>1000 м2 поверхности</t>
  </si>
  <si>
    <t>ТСН-2001.3 Доп. 73, Сб. 27, т. 69, поз. 1</t>
  </si>
  <si>
    <t>ТСН-2001.3-27. 27-69</t>
  </si>
  <si>
    <t>ТСН-2001.3-27-21</t>
  </si>
  <si>
    <t>13,1</t>
  </si>
  <si>
    <t>1.1-1-1605</t>
  </si>
  <si>
    <t>Полотно иглопробивное для дорожного строительства, ширина полотна 2,45 м</t>
  </si>
  <si>
    <t>м2</t>
  </si>
  <si>
    <t>ТСН-2001.1 Доп. 71, Р. 1, о. 1, поз. 1605</t>
  </si>
  <si>
    <t>13,2</t>
  </si>
  <si>
    <t>1.1-1-2006</t>
  </si>
  <si>
    <t>Полотно нетканое геотекстильное иглопробивное, поверхностная плотность 330 г/м2</t>
  </si>
  <si>
    <t>ТСН-2001.1 Доп. 55, Р. 1, о. 1, поз. 2006</t>
  </si>
  <si>
    <t>14</t>
  </si>
  <si>
    <t>3.27-12-1</t>
  </si>
  <si>
    <t>Устройство подстилающих и выравнивающих слоев оснований из песка</t>
  </si>
  <si>
    <t>100 м3 материала основания (в плотном теле)</t>
  </si>
  <si>
    <t>ТСН-2001.3 Доп. 69, Сб. 27, т. 12, поз. 1</t>
  </si>
  <si>
    <t>ТСН-2001.3-27. 27-1...27-21</t>
  </si>
  <si>
    <t>ТСН-2001.3-27-1</t>
  </si>
  <si>
    <t>14,1</t>
  </si>
  <si>
    <t>1.1-1-766</t>
  </si>
  <si>
    <t>Песок для строительных работ, рядовой (карьерный)</t>
  </si>
  <si>
    <t>ТСН-2001.1 Доп. 69, Р. 1, о. 1, поз. 766</t>
  </si>
  <si>
    <t>1.1-1-2015</t>
  </si>
  <si>
    <t>Полотно нетканое геотекстильное иглопробивное термоскрепленное, поверхностная плотность 360 г/м2</t>
  </si>
  <si>
    <t>ТСН-2001.1 Доп. 71, Р. 1, о. 1, поз. 2015</t>
  </si>
  <si>
    <t>Материалы строительные</t>
  </si>
  <si>
    <t>ТСН-2001.1 Материалы строительные</t>
  </si>
  <si>
    <t>ТСН-2001.1-1</t>
  </si>
  <si>
    <t>15</t>
  </si>
  <si>
    <t>3.27-12-2</t>
  </si>
  <si>
    <t>Устройство подстилающих и выравнивающих слоев оснований из щебня</t>
  </si>
  <si>
    <t>ТСН-2001.3 Доп. 69, Сб. 27, т. 12, поз. 2</t>
  </si>
  <si>
    <t>15,1</t>
  </si>
  <si>
    <t>1.1-1-1555</t>
  </si>
  <si>
    <t>Щебень из плотных горных пород для дорожного строительства, марка от 800 до 1200, фракция 20-40 мм</t>
  </si>
  <si>
    <t>ТСН-2001.1 Доп. 67, Р. 1, о. 1, поз. 1555</t>
  </si>
  <si>
    <t>16</t>
  </si>
  <si>
    <t>16,1</t>
  </si>
  <si>
    <t>16,2</t>
  </si>
  <si>
    <t>17</t>
  </si>
  <si>
    <t>3.27-30-1</t>
  </si>
  <si>
    <t>Устройство цементобетонных оснований городских проездов толщина слоя, см 16</t>
  </si>
  <si>
    <t>1000 м2 основания</t>
  </si>
  <si>
    <t>ТСН-2001.3 Доп. 73, Сб. 27, т. 30, поз. 1</t>
  </si>
  <si>
    <t>ТСН-2001.3-27. 27-29, 27-30</t>
  </si>
  <si>
    <t>ТСН-2001.3-27-7</t>
  </si>
  <si>
    <t>17,1</t>
  </si>
  <si>
    <t>1.3-1-36</t>
  </si>
  <si>
    <t>Смесь бетонная тяжелого бетона БСТ на гранитном щебне, крупность заполнителя от 5 до 20 мм, класс прочности В7,5 (М100), П3</t>
  </si>
  <si>
    <t>ТСН-2001.1 Доп. 67, Р. 3, о. 1, поз. 36</t>
  </si>
  <si>
    <t>18</t>
  </si>
  <si>
    <t>3.27-37-1</t>
  </si>
  <si>
    <t>Укладка металлической сетки в цементобетонное покрытие</t>
  </si>
  <si>
    <t>1000 м2 покрытия</t>
  </si>
  <si>
    <t>ТСН-2001.3. Доп. 1-42. Сб. 27, т. 37, поз. 1</t>
  </si>
  <si>
    <t>ТСН-2001.3-27. 27-31...27-37</t>
  </si>
  <si>
    <t>ТСН-2001.3-27-8</t>
  </si>
  <si>
    <t>18,1</t>
  </si>
  <si>
    <t>1.1-1-1824</t>
  </si>
  <si>
    <t>Сетка дорожная, размер ячейки 100х100 мм, диаметр проволоки 6 мм</t>
  </si>
  <si>
    <t>ТСН-2001.1 Доп. 67, Р. 1, о. 1, поз. 1824</t>
  </si>
  <si>
    <t>3.27-30-2</t>
  </si>
  <si>
    <t>Устройство цементобетонных оснований городских проездов добавлять или исключать на каждый 1 см изменения толщины слоя (доб. 3 см)</t>
  </si>
  <si>
    <t>ТСН-2001.3. Доп. 1-42. Сб. 27, т. 30, поз. 2</t>
  </si>
  <si>
    <t>)*3</t>
  </si>
  <si>
    <t>19</t>
  </si>
  <si>
    <t>3.27-42-1</t>
  </si>
  <si>
    <t>Устройство покрытий из горячих асфальтобетонных смесей толщиной 4 см комплектом машин</t>
  </si>
  <si>
    <t>100 м2 покрытия</t>
  </si>
  <si>
    <t>ТСН-2001.3 Доп. 69, Сб. 27, т. 42, поз. 1</t>
  </si>
  <si>
    <t>ТСН-2001.3-27. 27-42...27-46</t>
  </si>
  <si>
    <t>ТСН-2001.3-27-13</t>
  </si>
  <si>
    <t>19,1</t>
  </si>
  <si>
    <t>1.3-3-4</t>
  </si>
  <si>
    <t>Смесь асфальтобетонная дорожная, горячая, крупнозернистая, марка II</t>
  </si>
  <si>
    <t>т</t>
  </si>
  <si>
    <t>ТСН-2001.1 Доп. 67, Р. 3, о. 3, поз. 4</t>
  </si>
  <si>
    <t>20</t>
  </si>
  <si>
    <t>3.27-43-1</t>
  </si>
  <si>
    <t>Добавляется на каждый 1 см изменения толщины слоя сверх 4 см к позиции 3.27-42-1 (доб. 2 см)</t>
  </si>
  <si>
    <t>ТСН-2001.3 Доп. 73, Сб. 27, т. 43, поз. 1</t>
  </si>
  <si>
    <t>)*2</t>
  </si>
  <si>
    <t>20,1</t>
  </si>
  <si>
    <t>1.3-3-12</t>
  </si>
  <si>
    <t>Смесь асфальтобетонная дорожная, горячая, пористая, крупнозернистая</t>
  </si>
  <si>
    <t>ТСН-2001.1 Доп. 67, Р. 3, о. 3, поз. 12</t>
  </si>
  <si>
    <t>21</t>
  </si>
  <si>
    <t>21,1</t>
  </si>
  <si>
    <t>1.3-3-9</t>
  </si>
  <si>
    <t>Смесь асфальтобетонная дорожная, горячая, мелкозернистая, марка II, тип В</t>
  </si>
  <si>
    <t>ТСН-2001.1 Доп. 67, Р. 3, о. 3, поз. 9</t>
  </si>
  <si>
    <t>22</t>
  </si>
  <si>
    <t>Устройство покрытий из горячих асфальтобетонных смесей толщиной 4 см комплектом машин  ( доб. 1 см)</t>
  </si>
  <si>
    <t>22,1</t>
  </si>
  <si>
    <t>Восстановление проезжей части в зоне производства работ ( 5679 м2)</t>
  </si>
  <si>
    <t>23</t>
  </si>
  <si>
    <t>6.68-84-1</t>
  </si>
  <si>
    <t>Срезка поверхностного слоя асфальтобетонных покрытий методом холодного фрезерования при ширине барабана фрезы 2000 (2100) мм толщиной 6 см, без препятствий</t>
  </si>
  <si>
    <t>ТСН-2001.6 Доп. 68, Сб. 68, т. 84, поз. 1</t>
  </si>
  <si>
    <t>ТСН-2001.6-68. 68-84…68-88 (доп. 30)</t>
  </si>
  <si>
    <t>ТСН-2001.6-68-37</t>
  </si>
  <si>
    <t>24</t>
  </si>
  <si>
    <t>6.68-84-4</t>
  </si>
  <si>
    <t>Срезка поверхностного слоя асфальтобетонных покрытий методом холодного фрезерования при ширине барабана фрезы 2000 (2100) мм, добавляется или исключается на 1 см (искл. 1 см до 5 см)</t>
  </si>
  <si>
    <t>ТСН-2001.6 Доп. 69, Сб. 68, т. 84, поз. 4</t>
  </si>
  <si>
    <t>3.27-76-1</t>
  </si>
  <si>
    <t>Срезка поверхностного слоя асфальтобетонных дорожных покрытий методом холодного фрезерования, при ширине барабана фрезы 1000 мм и толщине слоя 5 см</t>
  </si>
  <si>
    <t>1 м2 дорожного покрытия</t>
  </si>
  <si>
    <t>ТСН-2001.3 Доп. 73, Сб. 27, т. 76, поз. 1</t>
  </si>
  <si>
    <t>ТСН-2001.3-27. 27-76</t>
  </si>
  <si>
    <t>ТСН-2001.3-27-24</t>
  </si>
  <si>
    <t>25</t>
  </si>
  <si>
    <t>25,1</t>
  </si>
  <si>
    <t>26</t>
  </si>
  <si>
    <t>Добавляется на каждый 1 см изменения толщины слоя сверх 4 см к позиции 3.27-42-1</t>
  </si>
  <si>
    <t>26,1</t>
  </si>
  <si>
    <t>Разборка и восстановление бортового камня ( 18 п.м)</t>
  </si>
  <si>
    <t>6.68-53-1</t>
  </si>
  <si>
    <t>Разборка бортовых камней на бетонном основании</t>
  </si>
  <si>
    <t>100 м</t>
  </si>
  <si>
    <t>ТСН-2001.6 Доп. 61, Сб. 68, т. 53, поз. 1</t>
  </si>
  <si>
    <t>Механизированная погрузка строительного мусора в автомобили-самосвалы ( 1 шт. = 90 кг.)</t>
  </si>
  <si>
    <t>3.27-26-1</t>
  </si>
  <si>
    <t>Установка бортовых камней бетонных при цементобетонных покрытиях</t>
  </si>
  <si>
    <t>100 м бортового камня</t>
  </si>
  <si>
    <t>ТСН-2001.3 Доп. 73, Сб. 27, т. 26, поз. 1</t>
  </si>
  <si>
    <t>ТСН-2001.3-27. 27-26-1</t>
  </si>
  <si>
    <t>ТСН-2001.3-27-3</t>
  </si>
  <si>
    <t>1.5-3-40</t>
  </si>
  <si>
    <t>Камень бетонный бортовой, типа БР 100.30.15</t>
  </si>
  <si>
    <t>ТСН-2001.1 Доп. 67, Р. 5, о. 3, поз. 40</t>
  </si>
  <si>
    <t>в т.ч.</t>
  </si>
  <si>
    <t>Мон</t>
  </si>
  <si>
    <t>Монтажные работы</t>
  </si>
  <si>
    <t>ПНР и Пр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</si>
  <si>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</si>
  <si>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</si>
  <si>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</si>
  <si>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</si>
  <si>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Текущий уровень цен</t>
  </si>
  <si>
    <t>Сборник индексов</t>
  </si>
  <si>
    <t>Коэффициенты к ТСН-2001 МГЭ, строительство доп 75</t>
  </si>
  <si>
    <t>214</t>
  </si>
  <si>
    <t>Коэффициенты к ТСН-2001.13-2 доп 75</t>
  </si>
  <si>
    <t>60</t>
  </si>
  <si>
    <t>Базовый уровень цен</t>
  </si>
  <si>
    <t>_OBSM_</t>
  </si>
  <si>
    <t>(наименование стройки и/или объекта)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</si>
  <si>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</si>
  <si>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</si>
  <si>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</si>
  <si>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</si>
  <si>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>Работы по монтажу оборудования</t>
  </si>
  <si>
    <t>Оборудование</t>
  </si>
  <si>
    <t>Прочие работы и затраты</t>
  </si>
  <si>
    <t>Средства на оплату труда</t>
  </si>
  <si>
    <t>Затраты труда</t>
  </si>
  <si>
    <t>чел.-ч.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</si>
  <si>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</si>
  <si>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</si>
  <si>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</si>
  <si>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</si>
  <si>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</si>
  <si>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</si>
  <si>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</si>
  <si>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</si>
  <si>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</si>
  <si>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</si>
  <si>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</si>
  <si>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</si>
  <si>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</si>
  <si>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75</t>
  </si>
  <si>
    <t>№ и период сборника коэффициентов (индексов) пересчета: Коэффициенты к ТСН-2001 МГЭ, строительство доп 75 №214 I квартал 2025 года и Коэффициенты к ТСН-2001.13-2 доп 75 №60 I квартал 2025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</si>
  <si>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</si>
  <si>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</si>
  <si>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</si>
  <si>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</si>
  <si>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</si>
  <si>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</si>
  <si>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</si>
  <si>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</si>
  <si>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</si>
  <si>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ВСЕГО работ по позиции:</t>
  </si>
  <si>
    <t>ВСЕГО оборудование по позиции:</t>
  </si>
  <si>
    <t>МР</t>
  </si>
  <si>
    <t xml:space="preserve">   Итого по ТСН-2001.16</t>
  </si>
  <si>
    <t xml:space="preserve">   Итого возвратных сумм</t>
  </si>
  <si>
    <t xml:space="preserve"> тыс.руб.</t>
  </si>
  <si>
    <t>ЛОКАЛЬНАЯ СМЕТА № 07-01-01</t>
  </si>
</sst>
</file>

<file path=xl/styles.xml><?xml version="1.0" encoding="utf-8"?>
<styleSheet xmlns="http://schemas.openxmlformats.org/spreadsheetml/2006/main">
  <numFmts count="2">
    <numFmt numFmtId="164" formatCode="#,##0.00;[Red]\-\ #,##0.00"/>
    <numFmt numFmtId="165" formatCode="General;\-General;"/>
  </numFmts>
  <fonts count="22">
    <font>
      <sz val="10"/>
      <name val="Arial"/>
      <charset val="204"/>
    </font>
    <font>
      <b/>
      <sz val="10"/>
      <color indexed="12"/>
      <name val="Arial"/>
      <family val="2"/>
      <charset val="204"/>
    </font>
    <font>
      <sz val="10"/>
      <color indexed="18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top" wrapText="1"/>
    </xf>
    <xf numFmtId="164" fontId="18" fillId="0" borderId="0" xfId="0" applyNumberFormat="1" applyFont="1"/>
    <xf numFmtId="0" fontId="18" fillId="0" borderId="0" xfId="0" applyFont="1"/>
    <xf numFmtId="164" fontId="12" fillId="0" borderId="0" xfId="0" applyNumberFormat="1" applyFont="1"/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21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 wrapText="1"/>
    </xf>
    <xf numFmtId="0" fontId="13" fillId="0" borderId="0" xfId="0" applyFont="1" applyAlignment="1">
      <alignment vertical="top" wrapText="1"/>
    </xf>
    <xf numFmtId="164" fontId="21" fillId="0" borderId="0" xfId="0" applyNumberFormat="1" applyFont="1" applyAlignment="1">
      <alignment horizontal="right"/>
    </xf>
    <xf numFmtId="165" fontId="12" fillId="0" borderId="0" xfId="0" quotePrefix="1" applyNumberFormat="1" applyFont="1" applyAlignment="1">
      <alignment horizontal="right" wrapText="1"/>
    </xf>
    <xf numFmtId="0" fontId="12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 wrapText="1"/>
    </xf>
    <xf numFmtId="164" fontId="13" fillId="0" borderId="0" xfId="0" applyNumberFormat="1" applyFont="1"/>
    <xf numFmtId="0" fontId="18" fillId="0" borderId="0" xfId="0" applyFont="1" applyAlignment="1">
      <alignment horizontal="left" wrapText="1"/>
    </xf>
    <xf numFmtId="164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wrapText="1"/>
    </xf>
    <xf numFmtId="164" fontId="18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left" wrapText="1"/>
    </xf>
    <xf numFmtId="0" fontId="19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1" applyFont="1" applyFill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4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3" fillId="0" borderId="0" xfId="0" applyFont="1" applyAlignment="1"/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406"/>
  <sheetViews>
    <sheetView tabSelected="1" zoomScaleNormal="100" workbookViewId="0">
      <selection activeCell="A6" sqref="A6"/>
    </sheetView>
  </sheetViews>
  <sheetFormatPr defaultColWidth="8.85546875" defaultRowHeight="12.75"/>
  <cols>
    <col min="1" max="1" width="5.7109375" style="12" customWidth="1"/>
    <col min="2" max="2" width="11.7109375" style="12" customWidth="1"/>
    <col min="3" max="3" width="40.7109375" style="12" customWidth="1"/>
    <col min="4" max="4" width="11.7109375" style="12" customWidth="1"/>
    <col min="5" max="5" width="12" style="12" bestFit="1" customWidth="1"/>
    <col min="6" max="6" width="9.42578125" style="12" bestFit="1" customWidth="1"/>
    <col min="7" max="7" width="8.85546875" style="12"/>
    <col min="8" max="8" width="9.5703125" style="12" bestFit="1" customWidth="1"/>
    <col min="9" max="9" width="11.85546875" style="12" bestFit="1" customWidth="1"/>
    <col min="10" max="10" width="12" style="12" bestFit="1" customWidth="1"/>
    <col min="11" max="11" width="13.7109375" style="12" bestFit="1" customWidth="1"/>
    <col min="12" max="13" width="8.85546875" style="12"/>
    <col min="14" max="41" width="0" style="12" hidden="1" customWidth="1"/>
    <col min="42" max="42" width="127.5703125" style="12" hidden="1" customWidth="1"/>
    <col min="43" max="43" width="95.7109375" style="12" hidden="1" customWidth="1"/>
    <col min="44" max="47" width="0" style="12" hidden="1" customWidth="1"/>
    <col min="48" max="16384" width="8.85546875" style="12"/>
  </cols>
  <sheetData>
    <row r="1" spans="1:11" ht="15">
      <c r="A1" s="11"/>
      <c r="B1" s="11"/>
      <c r="C1" s="11"/>
      <c r="D1" s="11"/>
      <c r="E1" s="11"/>
      <c r="F1" s="11"/>
      <c r="G1" s="11"/>
      <c r="H1" s="11"/>
      <c r="I1" s="11"/>
      <c r="J1" s="47" t="s">
        <v>321</v>
      </c>
      <c r="K1" s="47"/>
    </row>
    <row r="2" spans="1:11" ht="31.7" customHeight="1">
      <c r="A2" s="49" t="str">
        <f>Source!U20</f>
        <v>Строительство 2КЛ-10кВ от ТП 28274 до СП 60401 для двухстороннего резервирования  электроснабжения объектов от собственных сетей (ЖК «Юрлово» по адресу: г. Москва,  Юрловский проезд, 14 (СП 60401) и ТП 28274 по адресу: г. Москва, Алтуфьевское ш. 35).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>
      <c r="A3" s="50" t="s">
        <v>298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.75">
      <c r="A5" s="49" t="s">
        <v>339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ht="1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18.75">
      <c r="A7" s="52" t="str">
        <f>Source!G20</f>
        <v>Благоустройство</v>
      </c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>
      <c r="A8" s="53" t="s">
        <v>299</v>
      </c>
      <c r="B8" s="54"/>
      <c r="C8" s="54"/>
      <c r="D8" s="54"/>
      <c r="E8" s="54"/>
      <c r="F8" s="54"/>
      <c r="G8" s="54"/>
      <c r="H8" s="54"/>
      <c r="I8" s="54"/>
      <c r="J8" s="54"/>
      <c r="K8" s="54"/>
    </row>
    <row r="9" spans="1:11" ht="1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11" ht="15">
      <c r="A10" s="46" t="str">
        <f>CONCATENATE( "Основание: чертежи № ", Source!J12)</f>
        <v xml:space="preserve">Основание: чертежи № 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30">
      <c r="A12" s="11"/>
      <c r="B12" s="11"/>
      <c r="C12" s="11"/>
      <c r="D12" s="11"/>
      <c r="E12" s="11"/>
      <c r="F12" s="11"/>
      <c r="G12" s="11"/>
      <c r="H12" s="11"/>
      <c r="I12" s="14" t="s">
        <v>300</v>
      </c>
      <c r="J12" s="14" t="s">
        <v>301</v>
      </c>
      <c r="K12" s="11"/>
    </row>
    <row r="13" spans="1:11" ht="15">
      <c r="A13" s="11"/>
      <c r="B13" s="11"/>
      <c r="C13" s="11"/>
      <c r="D13" s="11"/>
      <c r="E13" s="48" t="s">
        <v>302</v>
      </c>
      <c r="F13" s="48"/>
      <c r="G13" s="48"/>
      <c r="H13" s="48"/>
      <c r="I13" s="15">
        <f>I14+I15+I16+I17</f>
        <v>1002.04</v>
      </c>
      <c r="J13" s="15">
        <f>J14+J15+J16+J17</f>
        <v>15411.31</v>
      </c>
      <c r="K13" s="16" t="s">
        <v>338</v>
      </c>
    </row>
    <row r="14" spans="1:11" ht="15">
      <c r="A14" s="11"/>
      <c r="B14" s="11"/>
      <c r="C14" s="11"/>
      <c r="D14" s="11"/>
      <c r="E14" s="43" t="s">
        <v>29</v>
      </c>
      <c r="F14" s="43"/>
      <c r="G14" s="43"/>
      <c r="H14" s="43"/>
      <c r="I14" s="17">
        <f>ROUND(SUM(X1:X407)/1000, 2)</f>
        <v>1002.04</v>
      </c>
      <c r="J14" s="17">
        <f>ROUND((Source!P329)/1000, 2)</f>
        <v>15411.31</v>
      </c>
      <c r="K14" s="11" t="s">
        <v>338</v>
      </c>
    </row>
    <row r="15" spans="1:11" ht="15">
      <c r="A15" s="11"/>
      <c r="B15" s="11"/>
      <c r="C15" s="11"/>
      <c r="D15" s="11"/>
      <c r="E15" s="43" t="s">
        <v>303</v>
      </c>
      <c r="F15" s="43"/>
      <c r="G15" s="43"/>
      <c r="H15" s="43"/>
      <c r="I15" s="17">
        <f>ROUND(SUM(Y1:Y407)/1000, 2)</f>
        <v>0</v>
      </c>
      <c r="J15" s="17">
        <f>ROUND((Source!P330)/1000, 2)</f>
        <v>0</v>
      </c>
      <c r="K15" s="11" t="s">
        <v>338</v>
      </c>
    </row>
    <row r="16" spans="1:11" ht="15">
      <c r="A16" s="11"/>
      <c r="B16" s="11"/>
      <c r="C16" s="11"/>
      <c r="D16" s="11"/>
      <c r="E16" s="43" t="s">
        <v>304</v>
      </c>
      <c r="F16" s="43"/>
      <c r="G16" s="43"/>
      <c r="H16" s="43"/>
      <c r="I16" s="17">
        <f>ROUND(SUM(Z1:Z407)/1000, 2)</f>
        <v>0</v>
      </c>
      <c r="J16" s="17">
        <f>ROUND((Source!P321)/1000, 2)</f>
        <v>0</v>
      </c>
      <c r="K16" s="11" t="s">
        <v>338</v>
      </c>
    </row>
    <row r="17" spans="1:42" ht="15">
      <c r="A17" s="11"/>
      <c r="B17" s="11"/>
      <c r="C17" s="11"/>
      <c r="D17" s="11"/>
      <c r="E17" s="43" t="s">
        <v>305</v>
      </c>
      <c r="F17" s="43"/>
      <c r="G17" s="43"/>
      <c r="H17" s="43"/>
      <c r="I17" s="17">
        <f>ROUND(SUM(AA1:AA407)/1000, 2)</f>
        <v>0</v>
      </c>
      <c r="J17" s="17">
        <f>ROUND((Source!P331+Source!P332)/1000, 2)</f>
        <v>0</v>
      </c>
      <c r="K17" s="11" t="s">
        <v>338</v>
      </c>
    </row>
    <row r="18" spans="1:42" ht="15">
      <c r="A18" s="11"/>
      <c r="B18" s="11"/>
      <c r="C18" s="11"/>
      <c r="D18" s="11"/>
      <c r="E18" s="43" t="s">
        <v>306</v>
      </c>
      <c r="F18" s="43"/>
      <c r="G18" s="43"/>
      <c r="H18" s="43"/>
      <c r="I18" s="17">
        <f>ROUND(SUM(W1:W407)/1000, 2)</f>
        <v>42.38</v>
      </c>
      <c r="J18" s="17">
        <f>((Source!P327 + Source!P326)/1000)</f>
        <v>1977.7919900000002</v>
      </c>
      <c r="K18" s="11" t="s">
        <v>338</v>
      </c>
    </row>
    <row r="19" spans="1:42" ht="15">
      <c r="A19" s="11"/>
      <c r="B19" s="11"/>
      <c r="C19" s="11"/>
      <c r="D19" s="11"/>
      <c r="E19" s="43" t="s">
        <v>307</v>
      </c>
      <c r="F19" s="43"/>
      <c r="G19" s="43"/>
      <c r="H19" s="43"/>
      <c r="I19" s="17">
        <f>SUM(AB1:AB407)</f>
        <v>2806.4068965599995</v>
      </c>
      <c r="J19" s="17"/>
      <c r="K19" s="11" t="s">
        <v>308</v>
      </c>
    </row>
    <row r="20" spans="1:42" ht="15" hidden="1">
      <c r="A20" s="11"/>
      <c r="B20" s="11"/>
      <c r="C20" s="11"/>
      <c r="D20" s="11"/>
      <c r="E20" s="44" t="s">
        <v>309</v>
      </c>
      <c r="F20" s="44"/>
      <c r="G20" s="44"/>
      <c r="H20" s="44"/>
      <c r="I20" s="17"/>
      <c r="J20" s="17"/>
      <c r="K20" s="11"/>
    </row>
    <row r="21" spans="1:42" ht="15" hidden="1">
      <c r="A21" s="11"/>
      <c r="B21" s="11"/>
      <c r="C21" s="11"/>
      <c r="D21" s="11"/>
      <c r="E21" s="45" t="s">
        <v>105</v>
      </c>
      <c r="F21" s="45"/>
      <c r="G21" s="45"/>
      <c r="H21" s="45"/>
      <c r="I21" s="17">
        <f>ROUND(SUM(AE1:AE407)/1000, 2)</f>
        <v>0</v>
      </c>
      <c r="J21" s="17">
        <f>SUM(AF1:AF407)/1000</f>
        <v>0</v>
      </c>
      <c r="K21" s="11" t="s">
        <v>338</v>
      </c>
    </row>
    <row r="22" spans="1:42" ht="15">
      <c r="A22" s="11"/>
      <c r="B22" s="11"/>
      <c r="C22" s="11"/>
      <c r="D22" s="11"/>
      <c r="E22" s="11"/>
      <c r="F22" s="18"/>
      <c r="G22" s="18"/>
      <c r="H22" s="18"/>
      <c r="I22" s="17"/>
      <c r="J22" s="17"/>
      <c r="K22" s="11"/>
    </row>
    <row r="23" spans="1:42" ht="15">
      <c r="A23" s="11" t="s">
        <v>322</v>
      </c>
      <c r="B23" s="11"/>
      <c r="C23" s="11"/>
      <c r="D23" s="11"/>
      <c r="E23" s="11"/>
      <c r="F23" s="18"/>
      <c r="G23" s="18"/>
      <c r="H23" s="18"/>
      <c r="I23" s="17"/>
      <c r="J23" s="17"/>
      <c r="K23" s="11"/>
    </row>
    <row r="24" spans="1:42" ht="30">
      <c r="A24" s="46" t="s">
        <v>323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AP24" s="19" t="s">
        <v>323</v>
      </c>
    </row>
    <row r="25" spans="1:42" ht="105">
      <c r="A25" s="20" t="s">
        <v>310</v>
      </c>
      <c r="B25" s="20" t="s">
        <v>311</v>
      </c>
      <c r="C25" s="20" t="s">
        <v>312</v>
      </c>
      <c r="D25" s="20" t="s">
        <v>313</v>
      </c>
      <c r="E25" s="20" t="s">
        <v>314</v>
      </c>
      <c r="F25" s="20" t="s">
        <v>315</v>
      </c>
      <c r="G25" s="21" t="s">
        <v>316</v>
      </c>
      <c r="H25" s="21" t="s">
        <v>317</v>
      </c>
      <c r="I25" s="20" t="s">
        <v>318</v>
      </c>
      <c r="J25" s="20" t="s">
        <v>319</v>
      </c>
      <c r="K25" s="20" t="s">
        <v>320</v>
      </c>
    </row>
    <row r="26" spans="1:42" ht="15">
      <c r="A26" s="20">
        <v>1</v>
      </c>
      <c r="B26" s="20">
        <v>2</v>
      </c>
      <c r="C26" s="20">
        <v>3</v>
      </c>
      <c r="D26" s="20">
        <v>4</v>
      </c>
      <c r="E26" s="20">
        <v>5</v>
      </c>
      <c r="F26" s="20">
        <v>6</v>
      </c>
      <c r="G26" s="20">
        <v>7</v>
      </c>
      <c r="H26" s="20">
        <v>8</v>
      </c>
      <c r="I26" s="20">
        <v>9</v>
      </c>
      <c r="J26" s="20">
        <v>10</v>
      </c>
      <c r="K26" s="20">
        <v>11</v>
      </c>
    </row>
    <row r="28" spans="1:42" ht="16.5">
      <c r="A28" s="42" t="str">
        <f>CONCATENATE("Локальная смета: ",IF(Source!G20&lt;&gt;"Новая локальная смета", Source!G20, ""))</f>
        <v>Локальная смета: Благоустройство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</row>
    <row r="30" spans="1:42" ht="16.5">
      <c r="A30" s="42" t="str">
        <f>CONCATENATE("Раздел: ",IF(Source!G24&lt;&gt;"Новый раздел", Source!G24, ""))</f>
        <v>Раздел: Газон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</row>
    <row r="32" spans="1:42" ht="16.5">
      <c r="A32" s="42" t="str">
        <f>CONCATENATE("Подраздел: ",IF(Source!G28&lt;&gt;"Новый подраздел", Source!G28, ""))</f>
        <v>Подраздел: Газон  направлением  СП 60401 до ТП 28274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</row>
    <row r="34" spans="1:35" ht="14.25">
      <c r="B34" s="41" t="str">
        <f>Source!G32</f>
        <v>по траншее (800 м2)</v>
      </c>
      <c r="C34" s="41"/>
      <c r="D34" s="41"/>
      <c r="E34" s="41"/>
      <c r="F34" s="41"/>
      <c r="G34" s="41"/>
      <c r="H34" s="41"/>
      <c r="I34" s="41"/>
      <c r="J34" s="41"/>
    </row>
    <row r="35" spans="1:35" ht="60">
      <c r="A35" s="22">
        <v>1</v>
      </c>
      <c r="B35" s="22" t="str">
        <f>Source!F34</f>
        <v>3.47-26-3</v>
      </c>
      <c r="C35" s="22" t="s">
        <v>26</v>
      </c>
      <c r="D35" s="23" t="str">
        <f>Source!H34</f>
        <v>100 м2</v>
      </c>
      <c r="E35" s="24">
        <f>Source!I34</f>
        <v>6</v>
      </c>
      <c r="F35" s="25"/>
      <c r="G35" s="26"/>
      <c r="H35" s="24"/>
      <c r="I35" s="25"/>
      <c r="J35" s="24"/>
      <c r="K35" s="25"/>
      <c r="Q35" s="12">
        <f>ROUND((Source!DN34/100)*ROUND((ROUND((Source!AF34*Source!AV34*Source!I34),2)),2), 2)</f>
        <v>3127.91</v>
      </c>
      <c r="R35" s="12">
        <f>Source!X34</f>
        <v>81967.179999999993</v>
      </c>
      <c r="S35" s="12">
        <f>ROUND((Source!DO34/100)*ROUND((ROUND((Source!AF34*Source!AV34*Source!I34),2)),2), 2)</f>
        <v>1689.41</v>
      </c>
      <c r="T35" s="12">
        <f>Source!Y34</f>
        <v>37470.71</v>
      </c>
      <c r="U35" s="12">
        <f>ROUND((175/100)*ROUND((ROUND((Source!AE34*Source!AV34*Source!I34),2)),2), 2)</f>
        <v>6.62</v>
      </c>
      <c r="V35" s="12">
        <f>ROUND((160/100)*ROUND(ROUND((ROUND((Source!AE34*Source!AV34*Source!I34),2)*Source!BS34),2), 2), 2)</f>
        <v>282.26</v>
      </c>
      <c r="AI35" s="12">
        <v>0</v>
      </c>
    </row>
    <row r="36" spans="1:35">
      <c r="C36" s="27" t="str">
        <f>"Объем: "&amp;Source!I34&amp;"=(800)/"&amp;"100*"&amp;"0,75"</f>
        <v>Объем: 6=(800)/100*0,75</v>
      </c>
    </row>
    <row r="37" spans="1:35" ht="15">
      <c r="A37" s="22"/>
      <c r="B37" s="22"/>
      <c r="C37" s="22" t="s">
        <v>324</v>
      </c>
      <c r="D37" s="23"/>
      <c r="E37" s="24"/>
      <c r="F37" s="25">
        <f>Source!AO34</f>
        <v>278.77999999999997</v>
      </c>
      <c r="G37" s="26" t="str">
        <f>Source!DG34</f>
        <v/>
      </c>
      <c r="H37" s="24">
        <f>Source!AV34</f>
        <v>1</v>
      </c>
      <c r="I37" s="25">
        <f>ROUND((ROUND((Source!AF34*Source!AV34*Source!I34),2)),2)</f>
        <v>1672.68</v>
      </c>
      <c r="J37" s="24">
        <f>IF(Source!BA34&lt;&gt; 0, Source!BA34, 1)</f>
        <v>46.67</v>
      </c>
      <c r="K37" s="25">
        <f>Source!S34</f>
        <v>78063.98</v>
      </c>
      <c r="W37" s="12">
        <f>I37</f>
        <v>1672.68</v>
      </c>
    </row>
    <row r="38" spans="1:35" ht="15">
      <c r="A38" s="22"/>
      <c r="B38" s="22"/>
      <c r="C38" s="22" t="s">
        <v>325</v>
      </c>
      <c r="D38" s="23"/>
      <c r="E38" s="24"/>
      <c r="F38" s="25">
        <f>Source!AM34</f>
        <v>5.55</v>
      </c>
      <c r="G38" s="26" t="str">
        <f>Source!DE34</f>
        <v/>
      </c>
      <c r="H38" s="24">
        <f>Source!AV34</f>
        <v>1</v>
      </c>
      <c r="I38" s="25">
        <f>(ROUND((ROUND(((Source!ET34)*Source!AV34*Source!I34),2)),2)+ROUND((ROUND(((Source!AE34-(Source!EU34))*Source!AV34*Source!I34),2)),2))</f>
        <v>33.299999999999997</v>
      </c>
      <c r="J38" s="24">
        <f>IF(Source!BB34&lt;&gt; 0, Source!BB34, 1)</f>
        <v>14.53</v>
      </c>
      <c r="K38" s="25">
        <f>Source!Q34</f>
        <v>483.85</v>
      </c>
    </row>
    <row r="39" spans="1:35" ht="15">
      <c r="A39" s="22"/>
      <c r="B39" s="22"/>
      <c r="C39" s="22" t="s">
        <v>326</v>
      </c>
      <c r="D39" s="23"/>
      <c r="E39" s="24"/>
      <c r="F39" s="25">
        <f>Source!AN34</f>
        <v>0.63</v>
      </c>
      <c r="G39" s="26" t="str">
        <f>Source!DF34</f>
        <v/>
      </c>
      <c r="H39" s="24">
        <f>Source!AV34</f>
        <v>1</v>
      </c>
      <c r="I39" s="28">
        <f>ROUND((ROUND((Source!AE34*Source!AV34*Source!I34),2)),2)</f>
        <v>3.78</v>
      </c>
      <c r="J39" s="24">
        <f>IF(Source!BS34&lt;&gt; 0, Source!BS34, 1)</f>
        <v>46.67</v>
      </c>
      <c r="K39" s="28">
        <f>Source!R34</f>
        <v>176.41</v>
      </c>
      <c r="W39" s="12">
        <f>I39</f>
        <v>3.78</v>
      </c>
    </row>
    <row r="40" spans="1:35" ht="15">
      <c r="A40" s="22" t="s">
        <v>32</v>
      </c>
      <c r="B40" s="22" t="str">
        <f>Source!F36</f>
        <v>1.4-6-1</v>
      </c>
      <c r="C40" s="22" t="s">
        <v>34</v>
      </c>
      <c r="D40" s="23" t="str">
        <f>Source!H36</f>
        <v>м3</v>
      </c>
      <c r="E40" s="24">
        <f>Source!I36</f>
        <v>90</v>
      </c>
      <c r="F40" s="25">
        <f>Source!AK36</f>
        <v>146.84</v>
      </c>
      <c r="G40" s="29" t="s">
        <v>6</v>
      </c>
      <c r="H40" s="24">
        <f>Source!AW36</f>
        <v>1</v>
      </c>
      <c r="I40" s="25">
        <f>ROUND((ROUND((Source!AC36*Source!AW36*Source!I36),2)),2)+(ROUND((ROUND(((Source!ET36)*Source!AV36*Source!I36),2)),2)+ROUND((ROUND(((Source!AE36-(Source!EU36))*Source!AV36*Source!I36),2)),2))+ROUND((ROUND((Source!AF36*Source!AV36*Source!I36),2)),2)</f>
        <v>13215.6</v>
      </c>
      <c r="J40" s="24">
        <f>IF(Source!BC36&lt;&gt; 0, Source!BC36, 1)</f>
        <v>7.81</v>
      </c>
      <c r="K40" s="25">
        <f>Source!O36</f>
        <v>103213.84</v>
      </c>
      <c r="Q40" s="12">
        <f>ROUND((Source!DN36/100)*ROUND((ROUND((Source!AF36*Source!AV36*Source!I36),2)),2), 2)</f>
        <v>0</v>
      </c>
      <c r="R40" s="12">
        <f>Source!X36</f>
        <v>0</v>
      </c>
      <c r="S40" s="12">
        <f>ROUND((Source!DO36/100)*ROUND((ROUND((Source!AF36*Source!AV36*Source!I36),2)),2), 2)</f>
        <v>0</v>
      </c>
      <c r="T40" s="12">
        <f>Source!Y36</f>
        <v>0</v>
      </c>
      <c r="U40" s="12">
        <f>ROUND((175/100)*ROUND((ROUND((Source!AE36*Source!AV36*Source!I36),2)),2), 2)</f>
        <v>0</v>
      </c>
      <c r="V40" s="12">
        <f>ROUND((160/100)*ROUND(ROUND((ROUND((Source!AE36*Source!AV36*Source!I36),2)*Source!BS36),2), 2), 2)</f>
        <v>0</v>
      </c>
      <c r="X40" s="12">
        <f>IF(Source!BI36&lt;=1,I40, 0)</f>
        <v>13215.6</v>
      </c>
      <c r="Y40" s="12">
        <f>IF(Source!BI36=2,I40, 0)</f>
        <v>0</v>
      </c>
      <c r="Z40" s="12">
        <f>IF(Source!BI36=3,I40, 0)</f>
        <v>0</v>
      </c>
      <c r="AA40" s="12">
        <f>IF(Source!BI36=4,I40, 0)</f>
        <v>0</v>
      </c>
      <c r="AI40" s="12">
        <v>3</v>
      </c>
    </row>
    <row r="41" spans="1:35" ht="15">
      <c r="A41" s="22"/>
      <c r="B41" s="22"/>
      <c r="C41" s="22" t="s">
        <v>327</v>
      </c>
      <c r="D41" s="23" t="s">
        <v>328</v>
      </c>
      <c r="E41" s="24">
        <f>Source!DN34</f>
        <v>187</v>
      </c>
      <c r="F41" s="25"/>
      <c r="G41" s="26"/>
      <c r="H41" s="24"/>
      <c r="I41" s="25">
        <f>SUM(Q35:Q40)</f>
        <v>3127.91</v>
      </c>
      <c r="J41" s="24">
        <f>Source!BZ34</f>
        <v>105</v>
      </c>
      <c r="K41" s="25">
        <f>SUM(R35:R40)</f>
        <v>81967.179999999993</v>
      </c>
    </row>
    <row r="42" spans="1:35" ht="15">
      <c r="A42" s="22"/>
      <c r="B42" s="22"/>
      <c r="C42" s="22" t="s">
        <v>329</v>
      </c>
      <c r="D42" s="23" t="s">
        <v>328</v>
      </c>
      <c r="E42" s="24">
        <f>Source!DO34</f>
        <v>101</v>
      </c>
      <c r="F42" s="25"/>
      <c r="G42" s="26"/>
      <c r="H42" s="24"/>
      <c r="I42" s="25">
        <f>SUM(S35:S41)</f>
        <v>1689.41</v>
      </c>
      <c r="J42" s="24">
        <f>Source!CA34</f>
        <v>48</v>
      </c>
      <c r="K42" s="25">
        <f>SUM(T35:T41)</f>
        <v>37470.71</v>
      </c>
    </row>
    <row r="43" spans="1:35" ht="15">
      <c r="A43" s="22"/>
      <c r="B43" s="22"/>
      <c r="C43" s="22" t="s">
        <v>330</v>
      </c>
      <c r="D43" s="23" t="s">
        <v>328</v>
      </c>
      <c r="E43" s="24">
        <f>175</f>
        <v>175</v>
      </c>
      <c r="F43" s="25"/>
      <c r="G43" s="26"/>
      <c r="H43" s="24"/>
      <c r="I43" s="25">
        <f>SUM(U35:U42)</f>
        <v>6.62</v>
      </c>
      <c r="J43" s="24">
        <f>160</f>
        <v>160</v>
      </c>
      <c r="K43" s="25">
        <f>SUM(V35:V42)</f>
        <v>282.26</v>
      </c>
    </row>
    <row r="44" spans="1:35" ht="15">
      <c r="A44" s="30"/>
      <c r="B44" s="30"/>
      <c r="C44" s="30" t="s">
        <v>331</v>
      </c>
      <c r="D44" s="31" t="s">
        <v>332</v>
      </c>
      <c r="E44" s="32">
        <f>Source!AQ34</f>
        <v>26.78</v>
      </c>
      <c r="F44" s="33"/>
      <c r="G44" s="34" t="str">
        <f>Source!DI34</f>
        <v/>
      </c>
      <c r="H44" s="32">
        <f>Source!AV34</f>
        <v>1</v>
      </c>
      <c r="I44" s="33">
        <f>Source!U34</f>
        <v>160.68</v>
      </c>
      <c r="J44" s="32"/>
      <c r="K44" s="33"/>
      <c r="AB44" s="35">
        <f>I44</f>
        <v>160.68</v>
      </c>
    </row>
    <row r="45" spans="1:35" ht="14.25">
      <c r="C45" s="16" t="s">
        <v>333</v>
      </c>
      <c r="H45" s="40">
        <f>I37+I38+I41+I42+I43+SUM(I40:I40)-SUMIF(AI40:AI40, 5, I40:I40)-SUMIF(AI40:AI40, 6, I40:I40)</f>
        <v>19745.52</v>
      </c>
      <c r="I45" s="40"/>
      <c r="J45" s="40">
        <f>K37+K38+K41+K42+K43+SUM(K40:K40)-SUMIF(AI40:AI40, 5, K40:K40)-SUMIF(AI40:AI40, 6, K40:K40)</f>
        <v>301481.82</v>
      </c>
      <c r="K45" s="40"/>
    </row>
    <row r="46" spans="1:35" ht="14.25">
      <c r="C46" s="16" t="s">
        <v>334</v>
      </c>
      <c r="H46" s="37">
        <f>SUMIF(AI40:AI40, 5, I40:I40)+SUMIF(AI40:AI40, 6, I40:I40)</f>
        <v>0</v>
      </c>
      <c r="I46" s="37"/>
      <c r="J46" s="37">
        <f>SUMIF(AI40:AI40, 5, K40:K40)+SUMIF(AI40:AI40, 6, K40:K40)</f>
        <v>0</v>
      </c>
      <c r="K46" s="37"/>
    </row>
    <row r="47" spans="1:35" ht="14.25">
      <c r="H47" s="37"/>
      <c r="I47" s="37"/>
      <c r="J47" s="37"/>
      <c r="K47" s="37"/>
      <c r="O47" s="35">
        <f>I37+I38+I41+I42+I43+SUM(I40:I40)</f>
        <v>19745.52</v>
      </c>
      <c r="P47" s="35">
        <f>K37+K38+K41+K42+K43+SUM(K40:K40)</f>
        <v>301481.82</v>
      </c>
      <c r="X47" s="12">
        <f>IF(Source!BI34&lt;=1,I37+I38+I41+I42+I43-0, 0)</f>
        <v>6529.9199999999992</v>
      </c>
      <c r="Y47" s="12">
        <f>IF(Source!BI34=2,I37+I38+I41+I42+I43-0, 0)</f>
        <v>0</v>
      </c>
      <c r="Z47" s="12">
        <f>IF(Source!BI34=3,I37+I38+I41+I42+I43-0, 0)</f>
        <v>0</v>
      </c>
      <c r="AA47" s="12">
        <f>IF(Source!BI34=4,I37+I38+I41+I42+I43,0)</f>
        <v>0</v>
      </c>
    </row>
    <row r="49" spans="1:35" ht="60">
      <c r="A49" s="22">
        <v>2</v>
      </c>
      <c r="B49" s="22" t="str">
        <f>Source!F38</f>
        <v>3.47-26-4</v>
      </c>
      <c r="C49" s="22" t="s">
        <v>39</v>
      </c>
      <c r="D49" s="23" t="str">
        <f>Source!H38</f>
        <v>100 м2</v>
      </c>
      <c r="E49" s="24">
        <f>Source!I38</f>
        <v>2</v>
      </c>
      <c r="F49" s="25"/>
      <c r="G49" s="26"/>
      <c r="H49" s="24"/>
      <c r="I49" s="25"/>
      <c r="J49" s="24"/>
      <c r="K49" s="25"/>
      <c r="Q49" s="12">
        <f>ROUND((Source!DN38/100)*ROUND((ROUND((Source!AF38*Source!AV38*Source!I38),2)),2), 2)</f>
        <v>1557.34</v>
      </c>
      <c r="R49" s="12">
        <f>Source!X38</f>
        <v>40810.120000000003</v>
      </c>
      <c r="S49" s="12">
        <f>ROUND((Source!DO38/100)*ROUND((ROUND((Source!AF38*Source!AV38*Source!I38),2)),2), 2)</f>
        <v>841.13</v>
      </c>
      <c r="T49" s="12">
        <f>Source!Y38</f>
        <v>18656.05</v>
      </c>
      <c r="U49" s="12">
        <f>ROUND((175/100)*ROUND((ROUND((Source!AE38*Source!AV38*Source!I38),2)),2), 2)</f>
        <v>0</v>
      </c>
      <c r="V49" s="12">
        <f>ROUND((160/100)*ROUND(ROUND((ROUND((Source!AE38*Source!AV38*Source!I38),2)*Source!BS38),2), 2), 2)</f>
        <v>0</v>
      </c>
      <c r="AI49" s="12">
        <v>0</v>
      </c>
    </row>
    <row r="50" spans="1:35">
      <c r="C50" s="27" t="str">
        <f>"Объем: "&amp;Source!I38&amp;"=(800)/"&amp;"100*"&amp;"0,25"</f>
        <v>Объем: 2=(800)/100*0,25</v>
      </c>
    </row>
    <row r="51" spans="1:35" ht="15">
      <c r="A51" s="22"/>
      <c r="B51" s="22"/>
      <c r="C51" s="22" t="s">
        <v>324</v>
      </c>
      <c r="D51" s="23"/>
      <c r="E51" s="24"/>
      <c r="F51" s="25">
        <f>Source!AO38</f>
        <v>416.4</v>
      </c>
      <c r="G51" s="26" t="str">
        <f>Source!DG38</f>
        <v/>
      </c>
      <c r="H51" s="24">
        <f>Source!AV38</f>
        <v>1</v>
      </c>
      <c r="I51" s="25">
        <f>ROUND((ROUND((Source!AF38*Source!AV38*Source!I38),2)),2)</f>
        <v>832.8</v>
      </c>
      <c r="J51" s="24">
        <f>IF(Source!BA38&lt;&gt; 0, Source!BA38, 1)</f>
        <v>46.67</v>
      </c>
      <c r="K51" s="25">
        <f>Source!S38</f>
        <v>38866.78</v>
      </c>
      <c r="W51" s="12">
        <f>I51</f>
        <v>832.8</v>
      </c>
    </row>
    <row r="52" spans="1:35" ht="15">
      <c r="A52" s="22" t="s">
        <v>41</v>
      </c>
      <c r="B52" s="22" t="str">
        <f>Source!F40</f>
        <v>1.4-6-1</v>
      </c>
      <c r="C52" s="22" t="s">
        <v>34</v>
      </c>
      <c r="D52" s="23" t="str">
        <f>Source!H40</f>
        <v>м3</v>
      </c>
      <c r="E52" s="24">
        <f>Source!I40</f>
        <v>30</v>
      </c>
      <c r="F52" s="25">
        <f>Source!AK40</f>
        <v>146.84</v>
      </c>
      <c r="G52" s="29" t="s">
        <v>6</v>
      </c>
      <c r="H52" s="24">
        <f>Source!AW40</f>
        <v>1</v>
      </c>
      <c r="I52" s="25">
        <f>ROUND((ROUND((Source!AC40*Source!AW40*Source!I40),2)),2)+(ROUND((ROUND(((Source!ET40)*Source!AV40*Source!I40),2)),2)+ROUND((ROUND(((Source!AE40-(Source!EU40))*Source!AV40*Source!I40),2)),2))+ROUND((ROUND((Source!AF40*Source!AV40*Source!I40),2)),2)</f>
        <v>4405.2</v>
      </c>
      <c r="J52" s="24">
        <f>IF(Source!BC40&lt;&gt; 0, Source!BC40, 1)</f>
        <v>7.81</v>
      </c>
      <c r="K52" s="25">
        <f>Source!O40</f>
        <v>34404.61</v>
      </c>
      <c r="Q52" s="12">
        <f>ROUND((Source!DN40/100)*ROUND((ROUND((Source!AF40*Source!AV40*Source!I40),2)),2), 2)</f>
        <v>0</v>
      </c>
      <c r="R52" s="12">
        <f>Source!X40</f>
        <v>0</v>
      </c>
      <c r="S52" s="12">
        <f>ROUND((Source!DO40/100)*ROUND((ROUND((Source!AF40*Source!AV40*Source!I40),2)),2), 2)</f>
        <v>0</v>
      </c>
      <c r="T52" s="12">
        <f>Source!Y40</f>
        <v>0</v>
      </c>
      <c r="U52" s="12">
        <f>ROUND((175/100)*ROUND((ROUND((Source!AE40*Source!AV40*Source!I40),2)),2), 2)</f>
        <v>0</v>
      </c>
      <c r="V52" s="12">
        <f>ROUND((160/100)*ROUND(ROUND((ROUND((Source!AE40*Source!AV40*Source!I40),2)*Source!BS40),2), 2), 2)</f>
        <v>0</v>
      </c>
      <c r="X52" s="12">
        <f>IF(Source!BI40&lt;=1,I52, 0)</f>
        <v>4405.2</v>
      </c>
      <c r="Y52" s="12">
        <f>IF(Source!BI40=2,I52, 0)</f>
        <v>0</v>
      </c>
      <c r="Z52" s="12">
        <f>IF(Source!BI40=3,I52, 0)</f>
        <v>0</v>
      </c>
      <c r="AA52" s="12">
        <f>IF(Source!BI40=4,I52, 0)</f>
        <v>0</v>
      </c>
      <c r="AI52" s="12">
        <v>3</v>
      </c>
    </row>
    <row r="53" spans="1:35" ht="15">
      <c r="A53" s="22"/>
      <c r="B53" s="22"/>
      <c r="C53" s="22" t="s">
        <v>327</v>
      </c>
      <c r="D53" s="23" t="s">
        <v>328</v>
      </c>
      <c r="E53" s="24">
        <f>Source!DN38</f>
        <v>187</v>
      </c>
      <c r="F53" s="25"/>
      <c r="G53" s="26"/>
      <c r="H53" s="24"/>
      <c r="I53" s="25">
        <f>SUM(Q49:Q52)</f>
        <v>1557.34</v>
      </c>
      <c r="J53" s="24">
        <f>Source!BZ38</f>
        <v>105</v>
      </c>
      <c r="K53" s="25">
        <f>SUM(R49:R52)</f>
        <v>40810.120000000003</v>
      </c>
    </row>
    <row r="54" spans="1:35" ht="15">
      <c r="A54" s="22"/>
      <c r="B54" s="22"/>
      <c r="C54" s="22" t="s">
        <v>329</v>
      </c>
      <c r="D54" s="23" t="s">
        <v>328</v>
      </c>
      <c r="E54" s="24">
        <f>Source!DO38</f>
        <v>101</v>
      </c>
      <c r="F54" s="25"/>
      <c r="G54" s="26"/>
      <c r="H54" s="24"/>
      <c r="I54" s="25">
        <f>SUM(S49:S53)</f>
        <v>841.13</v>
      </c>
      <c r="J54" s="24">
        <f>Source!CA38</f>
        <v>48</v>
      </c>
      <c r="K54" s="25">
        <f>SUM(T49:T53)</f>
        <v>18656.05</v>
      </c>
    </row>
    <row r="55" spans="1:35" ht="15">
      <c r="A55" s="30"/>
      <c r="B55" s="30"/>
      <c r="C55" s="30" t="s">
        <v>331</v>
      </c>
      <c r="D55" s="31" t="s">
        <v>332</v>
      </c>
      <c r="E55" s="32">
        <f>Source!AQ38</f>
        <v>40</v>
      </c>
      <c r="F55" s="33"/>
      <c r="G55" s="34" t="str">
        <f>Source!DI38</f>
        <v/>
      </c>
      <c r="H55" s="32">
        <f>Source!AV38</f>
        <v>1</v>
      </c>
      <c r="I55" s="33">
        <f>Source!U38</f>
        <v>80</v>
      </c>
      <c r="J55" s="32"/>
      <c r="K55" s="33"/>
      <c r="AB55" s="35">
        <f>I55</f>
        <v>80</v>
      </c>
    </row>
    <row r="56" spans="1:35" ht="14.25">
      <c r="C56" s="16" t="s">
        <v>333</v>
      </c>
      <c r="H56" s="40">
        <f>I51+I53+I54+SUM(I52:I52)-SUMIF(AI52:AI52, 5, I52:I52)-SUMIF(AI52:AI52, 6, I52:I52)</f>
        <v>7636.4699999999993</v>
      </c>
      <c r="I56" s="40"/>
      <c r="J56" s="40">
        <f>K51+K53+K54+SUM(K52:K52)-SUMIF(AI52:AI52, 5, K52:K52)-SUMIF(AI52:AI52, 6, K52:K52)</f>
        <v>132737.56</v>
      </c>
      <c r="K56" s="40"/>
    </row>
    <row r="57" spans="1:35" ht="14.25">
      <c r="C57" s="16" t="s">
        <v>334</v>
      </c>
      <c r="H57" s="37">
        <f>SUMIF(AI52:AI52, 5, I52:I52)+SUMIF(AI52:AI52, 6, I52:I52)</f>
        <v>0</v>
      </c>
      <c r="I57" s="37"/>
      <c r="J57" s="37">
        <f>SUMIF(AI52:AI52, 5, K52:K52)+SUMIF(AI52:AI52, 6, K52:K52)</f>
        <v>0</v>
      </c>
      <c r="K57" s="37"/>
    </row>
    <row r="58" spans="1:35" ht="14.25">
      <c r="H58" s="37"/>
      <c r="I58" s="37"/>
      <c r="J58" s="37"/>
      <c r="K58" s="37"/>
      <c r="O58" s="35">
        <f>I51+I53+I54+SUM(I52:I52)</f>
        <v>7636.4699999999993</v>
      </c>
      <c r="P58" s="35">
        <f>K51+K53+K54+SUM(K52:K52)</f>
        <v>132737.56</v>
      </c>
      <c r="X58" s="12">
        <f>IF(Source!BI38&lt;=1,I51+I53+I54-0, 0)</f>
        <v>3231.27</v>
      </c>
      <c r="Y58" s="12">
        <f>IF(Source!BI38=2,I51+I53+I54-0, 0)</f>
        <v>0</v>
      </c>
      <c r="Z58" s="12">
        <f>IF(Source!BI38=3,I51+I53+I54-0, 0)</f>
        <v>0</v>
      </c>
      <c r="AA58" s="12">
        <f>IF(Source!BI38=4,I51+I53+I54,0)</f>
        <v>0</v>
      </c>
    </row>
    <row r="60" spans="1:35" ht="60">
      <c r="A60" s="22">
        <v>3</v>
      </c>
      <c r="B60" s="22" t="str">
        <f>Source!F42</f>
        <v>3.47-26-5</v>
      </c>
      <c r="C60" s="22" t="s">
        <v>44</v>
      </c>
      <c r="D60" s="23" t="str">
        <f>Source!H42</f>
        <v>100 м2</v>
      </c>
      <c r="E60" s="24">
        <f>Source!I42</f>
        <v>8</v>
      </c>
      <c r="F60" s="25"/>
      <c r="G60" s="26"/>
      <c r="H60" s="24"/>
      <c r="I60" s="25"/>
      <c r="J60" s="24"/>
      <c r="K60" s="25"/>
      <c r="Q60" s="12">
        <f>ROUND((Source!DN42/100)*ROUND((ROUND((Source!AF42*Source!AV42*Source!I42),2)),2), 2)</f>
        <v>851.82</v>
      </c>
      <c r="R60" s="12">
        <f>Source!X42</f>
        <v>22322.080000000002</v>
      </c>
      <c r="S60" s="12">
        <f>ROUND((Source!DO42/100)*ROUND((ROUND((Source!AF42*Source!AV42*Source!I42),2)),2), 2)</f>
        <v>460.08</v>
      </c>
      <c r="T60" s="12">
        <f>Source!Y42</f>
        <v>10204.379999999999</v>
      </c>
      <c r="U60" s="12">
        <f>ROUND((175/100)*ROUND((ROUND((Source!AE42*Source!AV42*Source!I42),2)),2), 2)</f>
        <v>0</v>
      </c>
      <c r="V60" s="12">
        <f>ROUND((160/100)*ROUND(ROUND((ROUND((Source!AE42*Source!AV42*Source!I42),2)*Source!BS42),2), 2), 2)</f>
        <v>0</v>
      </c>
      <c r="AI60" s="12">
        <v>0</v>
      </c>
    </row>
    <row r="61" spans="1:35">
      <c r="C61" s="27" t="str">
        <f>"Объем: "&amp;Source!I42&amp;"="&amp;Source!I34&amp;"+"&amp;""&amp;Source!I38&amp;""</f>
        <v>Объем: 8=6+2</v>
      </c>
    </row>
    <row r="62" spans="1:35" ht="15">
      <c r="A62" s="22"/>
      <c r="B62" s="22"/>
      <c r="C62" s="22" t="s">
        <v>324</v>
      </c>
      <c r="D62" s="23"/>
      <c r="E62" s="24"/>
      <c r="F62" s="25">
        <f>Source!AO42</f>
        <v>56.94</v>
      </c>
      <c r="G62" s="26" t="str">
        <f>Source!DG42</f>
        <v/>
      </c>
      <c r="H62" s="24">
        <f>Source!AV42</f>
        <v>1</v>
      </c>
      <c r="I62" s="25">
        <f>ROUND((ROUND((Source!AF42*Source!AV42*Source!I42),2)),2)</f>
        <v>455.52</v>
      </c>
      <c r="J62" s="24">
        <f>IF(Source!BA42&lt;&gt; 0, Source!BA42, 1)</f>
        <v>46.67</v>
      </c>
      <c r="K62" s="25">
        <f>Source!S42</f>
        <v>21259.119999999999</v>
      </c>
      <c r="W62" s="12">
        <f>I62</f>
        <v>455.52</v>
      </c>
    </row>
    <row r="63" spans="1:35" ht="15">
      <c r="A63" s="22" t="s">
        <v>46</v>
      </c>
      <c r="B63" s="22" t="str">
        <f>Source!F44</f>
        <v>1.4-6-1</v>
      </c>
      <c r="C63" s="22" t="s">
        <v>34</v>
      </c>
      <c r="D63" s="23" t="str">
        <f>Source!H44</f>
        <v>м3</v>
      </c>
      <c r="E63" s="24">
        <f>Source!I44</f>
        <v>40</v>
      </c>
      <c r="F63" s="25">
        <f>Source!AK44</f>
        <v>146.84</v>
      </c>
      <c r="G63" s="29" t="s">
        <v>6</v>
      </c>
      <c r="H63" s="24">
        <f>Source!AW44</f>
        <v>1</v>
      </c>
      <c r="I63" s="25">
        <f>ROUND((ROUND((Source!AC44*Source!AW44*Source!I44),2)),2)+(ROUND((ROUND(((Source!ET44)*Source!AV44*Source!I44),2)),2)+ROUND((ROUND(((Source!AE44-(Source!EU44))*Source!AV44*Source!I44),2)),2))+ROUND((ROUND((Source!AF44*Source!AV44*Source!I44),2)),2)</f>
        <v>5873.6</v>
      </c>
      <c r="J63" s="24">
        <f>IF(Source!BC44&lt;&gt; 0, Source!BC44, 1)</f>
        <v>7.81</v>
      </c>
      <c r="K63" s="25">
        <f>Source!O44</f>
        <v>45872.82</v>
      </c>
      <c r="Q63" s="12">
        <f>ROUND((Source!DN44/100)*ROUND((ROUND((Source!AF44*Source!AV44*Source!I44),2)),2), 2)</f>
        <v>0</v>
      </c>
      <c r="R63" s="12">
        <f>Source!X44</f>
        <v>0</v>
      </c>
      <c r="S63" s="12">
        <f>ROUND((Source!DO44/100)*ROUND((ROUND((Source!AF44*Source!AV44*Source!I44),2)),2), 2)</f>
        <v>0</v>
      </c>
      <c r="T63" s="12">
        <f>Source!Y44</f>
        <v>0</v>
      </c>
      <c r="U63" s="12">
        <f>ROUND((175/100)*ROUND((ROUND((Source!AE44*Source!AV44*Source!I44),2)),2), 2)</f>
        <v>0</v>
      </c>
      <c r="V63" s="12">
        <f>ROUND((160/100)*ROUND(ROUND((ROUND((Source!AE44*Source!AV44*Source!I44),2)*Source!BS44),2), 2), 2)</f>
        <v>0</v>
      </c>
      <c r="X63" s="12">
        <f>IF(Source!BI44&lt;=1,I63, 0)</f>
        <v>5873.6</v>
      </c>
      <c r="Y63" s="12">
        <f>IF(Source!BI44=2,I63, 0)</f>
        <v>0</v>
      </c>
      <c r="Z63" s="12">
        <f>IF(Source!BI44=3,I63, 0)</f>
        <v>0</v>
      </c>
      <c r="AA63" s="12">
        <f>IF(Source!BI44=4,I63, 0)</f>
        <v>0</v>
      </c>
      <c r="AI63" s="12">
        <v>3</v>
      </c>
    </row>
    <row r="64" spans="1:35" ht="15">
      <c r="A64" s="22"/>
      <c r="B64" s="22"/>
      <c r="C64" s="22" t="s">
        <v>327</v>
      </c>
      <c r="D64" s="23" t="s">
        <v>328</v>
      </c>
      <c r="E64" s="24">
        <f>Source!DN42</f>
        <v>187</v>
      </c>
      <c r="F64" s="25"/>
      <c r="G64" s="26"/>
      <c r="H64" s="24"/>
      <c r="I64" s="25">
        <f>SUM(Q60:Q63)</f>
        <v>851.82</v>
      </c>
      <c r="J64" s="24">
        <f>Source!BZ42</f>
        <v>105</v>
      </c>
      <c r="K64" s="25">
        <f>SUM(R60:R63)</f>
        <v>22322.080000000002</v>
      </c>
    </row>
    <row r="65" spans="1:35" ht="15">
      <c r="A65" s="22"/>
      <c r="B65" s="22"/>
      <c r="C65" s="22" t="s">
        <v>329</v>
      </c>
      <c r="D65" s="23" t="s">
        <v>328</v>
      </c>
      <c r="E65" s="24">
        <f>Source!DO42</f>
        <v>101</v>
      </c>
      <c r="F65" s="25"/>
      <c r="G65" s="26"/>
      <c r="H65" s="24"/>
      <c r="I65" s="25">
        <f>SUM(S60:S64)</f>
        <v>460.08</v>
      </c>
      <c r="J65" s="24">
        <f>Source!CA42</f>
        <v>48</v>
      </c>
      <c r="K65" s="25">
        <f>SUM(T60:T64)</f>
        <v>10204.379999999999</v>
      </c>
    </row>
    <row r="66" spans="1:35" ht="15">
      <c r="A66" s="30"/>
      <c r="B66" s="30"/>
      <c r="C66" s="30" t="s">
        <v>331</v>
      </c>
      <c r="D66" s="31" t="s">
        <v>332</v>
      </c>
      <c r="E66" s="32">
        <f>Source!AQ42</f>
        <v>5.47</v>
      </c>
      <c r="F66" s="33"/>
      <c r="G66" s="34" t="str">
        <f>Source!DI42</f>
        <v/>
      </c>
      <c r="H66" s="32">
        <f>Source!AV42</f>
        <v>1</v>
      </c>
      <c r="I66" s="33">
        <f>Source!U42</f>
        <v>43.76</v>
      </c>
      <c r="J66" s="32"/>
      <c r="K66" s="33"/>
      <c r="AB66" s="35">
        <f>I66</f>
        <v>43.76</v>
      </c>
    </row>
    <row r="67" spans="1:35" ht="14.25">
      <c r="C67" s="16" t="s">
        <v>333</v>
      </c>
      <c r="H67" s="40">
        <f>I62+I64+I65+SUM(I63:I63)-SUMIF(AI63:AI63, 5, I63:I63)-SUMIF(AI63:AI63, 6, I63:I63)</f>
        <v>7641.02</v>
      </c>
      <c r="I67" s="40"/>
      <c r="J67" s="40">
        <f>K62+K64+K65+SUM(K63:K63)-SUMIF(AI63:AI63, 5, K63:K63)-SUMIF(AI63:AI63, 6, K63:K63)</f>
        <v>99658.4</v>
      </c>
      <c r="K67" s="40"/>
    </row>
    <row r="68" spans="1:35" ht="14.25">
      <c r="C68" s="16" t="s">
        <v>334</v>
      </c>
      <c r="H68" s="37">
        <f>SUMIF(AI63:AI63, 5, I63:I63)+SUMIF(AI63:AI63, 6, I63:I63)</f>
        <v>0</v>
      </c>
      <c r="I68" s="37"/>
      <c r="J68" s="37">
        <f>SUMIF(AI63:AI63, 5, K63:K63)+SUMIF(AI63:AI63, 6, K63:K63)</f>
        <v>0</v>
      </c>
      <c r="K68" s="37"/>
    </row>
    <row r="69" spans="1:35" ht="14.25">
      <c r="H69" s="37"/>
      <c r="I69" s="37"/>
      <c r="J69" s="37"/>
      <c r="K69" s="37"/>
      <c r="O69" s="35">
        <f>I62+I64+I65+SUM(I63:I63)</f>
        <v>7641.02</v>
      </c>
      <c r="P69" s="35">
        <f>K62+K64+K65+SUM(K63:K63)</f>
        <v>99658.4</v>
      </c>
      <c r="X69" s="12">
        <f>IF(Source!BI42&lt;=1,I62+I64+I65-0, 0)</f>
        <v>1767.42</v>
      </c>
      <c r="Y69" s="12">
        <f>IF(Source!BI42=2,I62+I64+I65-0, 0)</f>
        <v>0</v>
      </c>
      <c r="Z69" s="12">
        <f>IF(Source!BI42=3,I62+I64+I65-0, 0)</f>
        <v>0</v>
      </c>
      <c r="AA69" s="12">
        <f>IF(Source!BI42=4,I62+I64+I65,0)</f>
        <v>0</v>
      </c>
    </row>
    <row r="71" spans="1:35" ht="30">
      <c r="A71" s="22">
        <v>4</v>
      </c>
      <c r="B71" s="22" t="str">
        <f>Source!F46</f>
        <v>3.47-26-6</v>
      </c>
      <c r="C71" s="22" t="s">
        <v>49</v>
      </c>
      <c r="D71" s="23" t="str">
        <f>Source!H46</f>
        <v>100 м2</v>
      </c>
      <c r="E71" s="24">
        <f>Source!I46</f>
        <v>8</v>
      </c>
      <c r="F71" s="25"/>
      <c r="G71" s="26"/>
      <c r="H71" s="24"/>
      <c r="I71" s="25"/>
      <c r="J71" s="24"/>
      <c r="K71" s="25"/>
      <c r="Q71" s="12">
        <f>ROUND((Source!DN46/100)*ROUND((ROUND((Source!AF46*Source!AV46*Source!I46),2)),2), 2)</f>
        <v>878.15</v>
      </c>
      <c r="R71" s="12">
        <f>Source!X46</f>
        <v>23012.04</v>
      </c>
      <c r="S71" s="12">
        <f>ROUND((Source!DO46/100)*ROUND((ROUND((Source!AF46*Source!AV46*Source!I46),2)),2), 2)</f>
        <v>474.3</v>
      </c>
      <c r="T71" s="12">
        <f>Source!Y46</f>
        <v>10519.79</v>
      </c>
      <c r="U71" s="12">
        <f>ROUND((175/100)*ROUND((ROUND((Source!AE46*Source!AV46*Source!I46),2)),2), 2)</f>
        <v>0</v>
      </c>
      <c r="V71" s="12">
        <f>ROUND((160/100)*ROUND(ROUND((ROUND((Source!AE46*Source!AV46*Source!I46),2)*Source!BS46),2), 2), 2)</f>
        <v>0</v>
      </c>
      <c r="AI71" s="12">
        <v>0</v>
      </c>
    </row>
    <row r="72" spans="1:35" ht="15">
      <c r="A72" s="22"/>
      <c r="B72" s="22"/>
      <c r="C72" s="22" t="s">
        <v>324</v>
      </c>
      <c r="D72" s="23"/>
      <c r="E72" s="24"/>
      <c r="F72" s="25">
        <f>Source!AO46</f>
        <v>58.7</v>
      </c>
      <c r="G72" s="26" t="str">
        <f>Source!DG46</f>
        <v/>
      </c>
      <c r="H72" s="24">
        <f>Source!AV46</f>
        <v>1</v>
      </c>
      <c r="I72" s="25">
        <f>ROUND((ROUND((Source!AF46*Source!AV46*Source!I46),2)),2)</f>
        <v>469.6</v>
      </c>
      <c r="J72" s="24">
        <f>IF(Source!BA46&lt;&gt; 0, Source!BA46, 1)</f>
        <v>46.67</v>
      </c>
      <c r="K72" s="25">
        <f>Source!S46</f>
        <v>21916.23</v>
      </c>
      <c r="W72" s="12">
        <f>I72</f>
        <v>469.6</v>
      </c>
    </row>
    <row r="73" spans="1:35" ht="15">
      <c r="A73" s="22"/>
      <c r="B73" s="22"/>
      <c r="C73" s="22" t="s">
        <v>335</v>
      </c>
      <c r="D73" s="23"/>
      <c r="E73" s="24"/>
      <c r="F73" s="25">
        <f>Source!AL46</f>
        <v>70.7</v>
      </c>
      <c r="G73" s="26" t="str">
        <f>Source!DD46</f>
        <v/>
      </c>
      <c r="H73" s="24">
        <f>Source!AW46</f>
        <v>1</v>
      </c>
      <c r="I73" s="25">
        <f>ROUND((ROUND((Source!AC46*Source!AW46*Source!I46),2)),2)</f>
        <v>565.6</v>
      </c>
      <c r="J73" s="24">
        <f>IF(Source!BC46&lt;&gt; 0, Source!BC46, 1)</f>
        <v>7.05</v>
      </c>
      <c r="K73" s="25">
        <f>Source!P46</f>
        <v>3987.48</v>
      </c>
    </row>
    <row r="74" spans="1:35" ht="30">
      <c r="A74" s="22" t="s">
        <v>51</v>
      </c>
      <c r="B74" s="22" t="str">
        <f>Source!F48</f>
        <v>1.4-6-6</v>
      </c>
      <c r="C74" s="22" t="s">
        <v>53</v>
      </c>
      <c r="D74" s="23" t="str">
        <f>Source!H48</f>
        <v>кг</v>
      </c>
      <c r="E74" s="24">
        <f>Source!I48</f>
        <v>32</v>
      </c>
      <c r="F74" s="25">
        <f>Source!AK48</f>
        <v>57.93</v>
      </c>
      <c r="G74" s="29" t="s">
        <v>6</v>
      </c>
      <c r="H74" s="24">
        <f>Source!AW48</f>
        <v>1</v>
      </c>
      <c r="I74" s="25">
        <f>ROUND((ROUND((Source!AC48*Source!AW48*Source!I48),2)),2)+(ROUND((ROUND(((Source!ET48)*Source!AV48*Source!I48),2)),2)+ROUND((ROUND(((Source!AE48-(Source!EU48))*Source!AV48*Source!I48),2)),2))+ROUND((ROUND((Source!AF48*Source!AV48*Source!I48),2)),2)</f>
        <v>1853.76</v>
      </c>
      <c r="J74" s="24">
        <f>IF(Source!BC48&lt;&gt; 0, Source!BC48, 1)</f>
        <v>2.58</v>
      </c>
      <c r="K74" s="25">
        <f>Source!O48</f>
        <v>4782.7</v>
      </c>
      <c r="Q74" s="12">
        <f>ROUND((Source!DN48/100)*ROUND((ROUND((Source!AF48*Source!AV48*Source!I48),2)),2), 2)</f>
        <v>0</v>
      </c>
      <c r="R74" s="12">
        <f>Source!X48</f>
        <v>0</v>
      </c>
      <c r="S74" s="12">
        <f>ROUND((Source!DO48/100)*ROUND((ROUND((Source!AF48*Source!AV48*Source!I48),2)),2), 2)</f>
        <v>0</v>
      </c>
      <c r="T74" s="12">
        <f>Source!Y48</f>
        <v>0</v>
      </c>
      <c r="U74" s="12">
        <f>ROUND((175/100)*ROUND((ROUND((Source!AE48*Source!AV48*Source!I48),2)),2), 2)</f>
        <v>0</v>
      </c>
      <c r="V74" s="12">
        <f>ROUND((160/100)*ROUND(ROUND((ROUND((Source!AE48*Source!AV48*Source!I48),2)*Source!BS48),2), 2), 2)</f>
        <v>0</v>
      </c>
      <c r="X74" s="12">
        <f>IF(Source!BI48&lt;=1,I74, 0)</f>
        <v>1853.76</v>
      </c>
      <c r="Y74" s="12">
        <f>IF(Source!BI48=2,I74, 0)</f>
        <v>0</v>
      </c>
      <c r="Z74" s="12">
        <f>IF(Source!BI48=3,I74, 0)</f>
        <v>0</v>
      </c>
      <c r="AA74" s="12">
        <f>IF(Source!BI48=4,I74, 0)</f>
        <v>0</v>
      </c>
      <c r="AI74" s="12">
        <v>3</v>
      </c>
    </row>
    <row r="75" spans="1:35" ht="15">
      <c r="A75" s="22"/>
      <c r="B75" s="22"/>
      <c r="C75" s="22" t="s">
        <v>327</v>
      </c>
      <c r="D75" s="23" t="s">
        <v>328</v>
      </c>
      <c r="E75" s="24">
        <f>Source!DN46</f>
        <v>187</v>
      </c>
      <c r="F75" s="25"/>
      <c r="G75" s="26"/>
      <c r="H75" s="24"/>
      <c r="I75" s="25">
        <f>SUM(Q71:Q74)</f>
        <v>878.15</v>
      </c>
      <c r="J75" s="24">
        <f>Source!BZ46</f>
        <v>105</v>
      </c>
      <c r="K75" s="25">
        <f>SUM(R71:R74)</f>
        <v>23012.04</v>
      </c>
    </row>
    <row r="76" spans="1:35" ht="15">
      <c r="A76" s="22"/>
      <c r="B76" s="22"/>
      <c r="C76" s="22" t="s">
        <v>329</v>
      </c>
      <c r="D76" s="23" t="s">
        <v>328</v>
      </c>
      <c r="E76" s="24">
        <f>Source!DO46</f>
        <v>101</v>
      </c>
      <c r="F76" s="25"/>
      <c r="G76" s="26"/>
      <c r="H76" s="24"/>
      <c r="I76" s="25">
        <f>SUM(S71:S75)</f>
        <v>474.3</v>
      </c>
      <c r="J76" s="24">
        <f>Source!CA46</f>
        <v>48</v>
      </c>
      <c r="K76" s="25">
        <f>SUM(T71:T75)</f>
        <v>10519.79</v>
      </c>
    </row>
    <row r="77" spans="1:35" ht="15">
      <c r="A77" s="30"/>
      <c r="B77" s="30"/>
      <c r="C77" s="30" t="s">
        <v>331</v>
      </c>
      <c r="D77" s="31" t="s">
        <v>332</v>
      </c>
      <c r="E77" s="32">
        <f>Source!AQ46</f>
        <v>5.25</v>
      </c>
      <c r="F77" s="33"/>
      <c r="G77" s="34" t="str">
        <f>Source!DI46</f>
        <v/>
      </c>
      <c r="H77" s="32">
        <f>Source!AV46</f>
        <v>1</v>
      </c>
      <c r="I77" s="33">
        <f>Source!U46</f>
        <v>42</v>
      </c>
      <c r="J77" s="32"/>
      <c r="K77" s="33"/>
      <c r="AB77" s="35">
        <f>I77</f>
        <v>42</v>
      </c>
    </row>
    <row r="78" spans="1:35" ht="14.25">
      <c r="C78" s="16" t="s">
        <v>333</v>
      </c>
      <c r="H78" s="40">
        <f>I72+I73+I75+I76+SUM(I74:I74)-SUMIF(AI74:AI74, 5, I74:I74)-SUMIF(AI74:AI74, 6, I74:I74)</f>
        <v>4241.41</v>
      </c>
      <c r="I78" s="40"/>
      <c r="J78" s="40">
        <f>K72+K73+K75+K76+SUM(K74:K74)-SUMIF(AI74:AI74, 5, K74:K74)-SUMIF(AI74:AI74, 6, K74:K74)</f>
        <v>64218.239999999998</v>
      </c>
      <c r="K78" s="40"/>
    </row>
    <row r="79" spans="1:35" ht="14.25">
      <c r="C79" s="16" t="s">
        <v>334</v>
      </c>
      <c r="H79" s="37">
        <f>SUMIF(AI74:AI74, 5, I74:I74)+SUMIF(AI74:AI74, 6, I74:I74)</f>
        <v>0</v>
      </c>
      <c r="I79" s="37"/>
      <c r="J79" s="37">
        <f>SUMIF(AI74:AI74, 5, K74:K74)+SUMIF(AI74:AI74, 6, K74:K74)</f>
        <v>0</v>
      </c>
      <c r="K79" s="37"/>
    </row>
    <row r="80" spans="1:35" ht="14.25">
      <c r="H80" s="37"/>
      <c r="I80" s="37"/>
      <c r="J80" s="37"/>
      <c r="K80" s="37"/>
      <c r="O80" s="35">
        <f>I72+I73+I75+I76+SUM(I74:I74)</f>
        <v>4241.41</v>
      </c>
      <c r="P80" s="35">
        <f>K72+K73+K75+K76+SUM(K74:K74)</f>
        <v>64218.239999999998</v>
      </c>
      <c r="X80" s="12">
        <f>IF(Source!BI46&lt;=1,I72+I73+I75+I76-0, 0)</f>
        <v>2387.65</v>
      </c>
      <c r="Y80" s="12">
        <f>IF(Source!BI46=2,I72+I73+I75+I76-0, 0)</f>
        <v>0</v>
      </c>
      <c r="Z80" s="12">
        <f>IF(Source!BI46=3,I72+I73+I75+I76-0, 0)</f>
        <v>0</v>
      </c>
      <c r="AA80" s="12">
        <f>IF(Source!BI46=4,I72+I73+I75+I76,0)</f>
        <v>0</v>
      </c>
    </row>
    <row r="83" spans="1:35" ht="14.25">
      <c r="B83" s="41" t="str">
        <f>Source!G49</f>
        <v>в зоне СМР  (3000м2)</v>
      </c>
      <c r="C83" s="41"/>
      <c r="D83" s="41"/>
      <c r="E83" s="41"/>
      <c r="F83" s="41"/>
      <c r="G83" s="41"/>
      <c r="H83" s="41"/>
      <c r="I83" s="41"/>
      <c r="J83" s="41"/>
    </row>
    <row r="84" spans="1:35" ht="60">
      <c r="A84" s="22">
        <v>5</v>
      </c>
      <c r="B84" s="22" t="str">
        <f>Source!F51</f>
        <v>3.47-26-3</v>
      </c>
      <c r="C84" s="22" t="s">
        <v>26</v>
      </c>
      <c r="D84" s="23" t="str">
        <f>Source!H51</f>
        <v>100 м2</v>
      </c>
      <c r="E84" s="24">
        <f>Source!I51</f>
        <v>22.5</v>
      </c>
      <c r="F84" s="25"/>
      <c r="G84" s="26"/>
      <c r="H84" s="24"/>
      <c r="I84" s="25"/>
      <c r="J84" s="24"/>
      <c r="K84" s="25"/>
      <c r="Q84" s="12">
        <f>ROUND((Source!DN51/100)*ROUND((ROUND((Source!AF51*Source!AV51*Source!I51),2)),2), 2)</f>
        <v>11729.67</v>
      </c>
      <c r="R84" s="12">
        <f>Source!X51</f>
        <v>307376.90999999997</v>
      </c>
      <c r="S84" s="12">
        <f>ROUND((Source!DO51/100)*ROUND((ROUND((Source!AF51*Source!AV51*Source!I51),2)),2), 2)</f>
        <v>6335.28</v>
      </c>
      <c r="T84" s="12">
        <f>Source!Y51</f>
        <v>140515.16</v>
      </c>
      <c r="U84" s="12">
        <f>ROUND((175/100)*ROUND((ROUND((Source!AE51*Source!AV51*Source!I51),2)),2), 2)</f>
        <v>24.82</v>
      </c>
      <c r="V84" s="12">
        <f>ROUND((160/100)*ROUND(ROUND((ROUND((Source!AE51*Source!AV51*Source!I51),2)*Source!BS51),2), 2), 2)</f>
        <v>1058.8499999999999</v>
      </c>
      <c r="AI84" s="12">
        <v>0</v>
      </c>
    </row>
    <row r="85" spans="1:35">
      <c r="C85" s="27" t="str">
        <f>"Объем: "&amp;Source!I51&amp;"=(3000)/"&amp;"100*"&amp;"0,75"</f>
        <v>Объем: 22,5=(3000)/100*0,75</v>
      </c>
    </row>
    <row r="86" spans="1:35" ht="15">
      <c r="A86" s="22"/>
      <c r="B86" s="22"/>
      <c r="C86" s="22" t="s">
        <v>324</v>
      </c>
      <c r="D86" s="23"/>
      <c r="E86" s="24"/>
      <c r="F86" s="25">
        <f>Source!AO51</f>
        <v>278.77999999999997</v>
      </c>
      <c r="G86" s="26" t="str">
        <f>Source!DG51</f>
        <v/>
      </c>
      <c r="H86" s="24">
        <f>Source!AV51</f>
        <v>1</v>
      </c>
      <c r="I86" s="25">
        <f>ROUND((ROUND((Source!AF51*Source!AV51*Source!I51),2)),2)</f>
        <v>6272.55</v>
      </c>
      <c r="J86" s="24">
        <f>IF(Source!BA51&lt;&gt; 0, Source!BA51, 1)</f>
        <v>46.67</v>
      </c>
      <c r="K86" s="25">
        <f>Source!S51</f>
        <v>292739.90999999997</v>
      </c>
      <c r="W86" s="12">
        <f>I86</f>
        <v>6272.55</v>
      </c>
    </row>
    <row r="87" spans="1:35" ht="15">
      <c r="A87" s="22"/>
      <c r="B87" s="22"/>
      <c r="C87" s="22" t="s">
        <v>325</v>
      </c>
      <c r="D87" s="23"/>
      <c r="E87" s="24"/>
      <c r="F87" s="25">
        <f>Source!AM51</f>
        <v>5.55</v>
      </c>
      <c r="G87" s="26" t="str">
        <f>Source!DE51</f>
        <v/>
      </c>
      <c r="H87" s="24">
        <f>Source!AV51</f>
        <v>1</v>
      </c>
      <c r="I87" s="25">
        <f>(ROUND((ROUND(((Source!ET51)*Source!AV51*Source!I51),2)),2)+ROUND((ROUND(((Source!AE51-(Source!EU51))*Source!AV51*Source!I51),2)),2))</f>
        <v>124.88</v>
      </c>
      <c r="J87" s="24">
        <f>IF(Source!BB51&lt;&gt; 0, Source!BB51, 1)</f>
        <v>14.53</v>
      </c>
      <c r="K87" s="25">
        <f>Source!Q51</f>
        <v>1814.51</v>
      </c>
    </row>
    <row r="88" spans="1:35" ht="15">
      <c r="A88" s="22"/>
      <c r="B88" s="22"/>
      <c r="C88" s="22" t="s">
        <v>326</v>
      </c>
      <c r="D88" s="23"/>
      <c r="E88" s="24"/>
      <c r="F88" s="25">
        <f>Source!AN51</f>
        <v>0.63</v>
      </c>
      <c r="G88" s="26" t="str">
        <f>Source!DF51</f>
        <v/>
      </c>
      <c r="H88" s="24">
        <f>Source!AV51</f>
        <v>1</v>
      </c>
      <c r="I88" s="28">
        <f>ROUND((ROUND((Source!AE51*Source!AV51*Source!I51),2)),2)</f>
        <v>14.18</v>
      </c>
      <c r="J88" s="24">
        <f>IF(Source!BS51&lt;&gt; 0, Source!BS51, 1)</f>
        <v>46.67</v>
      </c>
      <c r="K88" s="28">
        <f>Source!R51</f>
        <v>661.78</v>
      </c>
      <c r="W88" s="12">
        <f>I88</f>
        <v>14.18</v>
      </c>
    </row>
    <row r="89" spans="1:35" ht="15">
      <c r="A89" s="22" t="s">
        <v>58</v>
      </c>
      <c r="B89" s="22" t="str">
        <f>Source!F53</f>
        <v>1.4-6-1</v>
      </c>
      <c r="C89" s="22" t="s">
        <v>34</v>
      </c>
      <c r="D89" s="23" t="str">
        <f>Source!H53</f>
        <v>м3</v>
      </c>
      <c r="E89" s="24">
        <f>Source!I53</f>
        <v>337.5</v>
      </c>
      <c r="F89" s="25">
        <f>Source!AK53</f>
        <v>146.84</v>
      </c>
      <c r="G89" s="29" t="s">
        <v>6</v>
      </c>
      <c r="H89" s="24">
        <f>Source!AW53</f>
        <v>1</v>
      </c>
      <c r="I89" s="25">
        <f>ROUND((ROUND((Source!AC53*Source!AW53*Source!I53),2)),2)+(ROUND((ROUND(((Source!ET53)*Source!AV53*Source!I53),2)),2)+ROUND((ROUND(((Source!AE53-(Source!EU53))*Source!AV53*Source!I53),2)),2))+ROUND((ROUND((Source!AF53*Source!AV53*Source!I53),2)),2)</f>
        <v>49558.5</v>
      </c>
      <c r="J89" s="24">
        <f>IF(Source!BC53&lt;&gt; 0, Source!BC53, 1)</f>
        <v>7.81</v>
      </c>
      <c r="K89" s="25">
        <f>Source!O53</f>
        <v>387051.89</v>
      </c>
      <c r="Q89" s="12">
        <f>ROUND((Source!DN53/100)*ROUND((ROUND((Source!AF53*Source!AV53*Source!I53),2)),2), 2)</f>
        <v>0</v>
      </c>
      <c r="R89" s="12">
        <f>Source!X53</f>
        <v>0</v>
      </c>
      <c r="S89" s="12">
        <f>ROUND((Source!DO53/100)*ROUND((ROUND((Source!AF53*Source!AV53*Source!I53),2)),2), 2)</f>
        <v>0</v>
      </c>
      <c r="T89" s="12">
        <f>Source!Y53</f>
        <v>0</v>
      </c>
      <c r="U89" s="12">
        <f>ROUND((175/100)*ROUND((ROUND((Source!AE53*Source!AV53*Source!I53),2)),2), 2)</f>
        <v>0</v>
      </c>
      <c r="V89" s="12">
        <f>ROUND((160/100)*ROUND(ROUND((ROUND((Source!AE53*Source!AV53*Source!I53),2)*Source!BS53),2), 2), 2)</f>
        <v>0</v>
      </c>
      <c r="X89" s="12">
        <f>IF(Source!BI53&lt;=1,I89, 0)</f>
        <v>49558.5</v>
      </c>
      <c r="Y89" s="12">
        <f>IF(Source!BI53=2,I89, 0)</f>
        <v>0</v>
      </c>
      <c r="Z89" s="12">
        <f>IF(Source!BI53=3,I89, 0)</f>
        <v>0</v>
      </c>
      <c r="AA89" s="12">
        <f>IF(Source!BI53=4,I89, 0)</f>
        <v>0</v>
      </c>
      <c r="AI89" s="12">
        <v>3</v>
      </c>
    </row>
    <row r="90" spans="1:35" ht="15">
      <c r="A90" s="22"/>
      <c r="B90" s="22"/>
      <c r="C90" s="22" t="s">
        <v>327</v>
      </c>
      <c r="D90" s="23" t="s">
        <v>328</v>
      </c>
      <c r="E90" s="24">
        <f>Source!DN51</f>
        <v>187</v>
      </c>
      <c r="F90" s="25"/>
      <c r="G90" s="26"/>
      <c r="H90" s="24"/>
      <c r="I90" s="25">
        <f>SUM(Q84:Q89)</f>
        <v>11729.67</v>
      </c>
      <c r="J90" s="24">
        <f>Source!BZ51</f>
        <v>105</v>
      </c>
      <c r="K90" s="25">
        <f>SUM(R84:R89)</f>
        <v>307376.90999999997</v>
      </c>
    </row>
    <row r="91" spans="1:35" ht="15">
      <c r="A91" s="22"/>
      <c r="B91" s="22"/>
      <c r="C91" s="22" t="s">
        <v>329</v>
      </c>
      <c r="D91" s="23" t="s">
        <v>328</v>
      </c>
      <c r="E91" s="24">
        <f>Source!DO51</f>
        <v>101</v>
      </c>
      <c r="F91" s="25"/>
      <c r="G91" s="26"/>
      <c r="H91" s="24"/>
      <c r="I91" s="25">
        <f>SUM(S84:S90)</f>
        <v>6335.28</v>
      </c>
      <c r="J91" s="24">
        <f>Source!CA51</f>
        <v>48</v>
      </c>
      <c r="K91" s="25">
        <f>SUM(T84:T90)</f>
        <v>140515.16</v>
      </c>
    </row>
    <row r="92" spans="1:35" ht="15">
      <c r="A92" s="22"/>
      <c r="B92" s="22"/>
      <c r="C92" s="22" t="s">
        <v>330</v>
      </c>
      <c r="D92" s="23" t="s">
        <v>328</v>
      </c>
      <c r="E92" s="24">
        <f>175</f>
        <v>175</v>
      </c>
      <c r="F92" s="25"/>
      <c r="G92" s="26"/>
      <c r="H92" s="24"/>
      <c r="I92" s="25">
        <f>SUM(U84:U91)</f>
        <v>24.82</v>
      </c>
      <c r="J92" s="24">
        <f>160</f>
        <v>160</v>
      </c>
      <c r="K92" s="25">
        <f>SUM(V84:V91)</f>
        <v>1058.8499999999999</v>
      </c>
    </row>
    <row r="93" spans="1:35" ht="15">
      <c r="A93" s="30"/>
      <c r="B93" s="30"/>
      <c r="C93" s="30" t="s">
        <v>331</v>
      </c>
      <c r="D93" s="31" t="s">
        <v>332</v>
      </c>
      <c r="E93" s="32">
        <f>Source!AQ51</f>
        <v>26.78</v>
      </c>
      <c r="F93" s="33"/>
      <c r="G93" s="34" t="str">
        <f>Source!DI51</f>
        <v/>
      </c>
      <c r="H93" s="32">
        <f>Source!AV51</f>
        <v>1</v>
      </c>
      <c r="I93" s="33">
        <f>Source!U51</f>
        <v>602.55000000000007</v>
      </c>
      <c r="J93" s="32"/>
      <c r="K93" s="33"/>
      <c r="AB93" s="35">
        <f>I93</f>
        <v>602.55000000000007</v>
      </c>
    </row>
    <row r="94" spans="1:35" ht="14.25">
      <c r="C94" s="16" t="s">
        <v>333</v>
      </c>
      <c r="H94" s="40">
        <f>I86+I87+I90+I91+I92+SUM(I89:I89)-SUMIF(AI89:AI89, 5, I89:I89)-SUMIF(AI89:AI89, 6, I89:I89)</f>
        <v>74045.7</v>
      </c>
      <c r="I94" s="40"/>
      <c r="J94" s="40">
        <f>K86+K87+K90+K91+K92+SUM(K89:K89)-SUMIF(AI89:AI89, 5, K89:K89)-SUMIF(AI89:AI89, 6, K89:K89)</f>
        <v>1130557.23</v>
      </c>
      <c r="K94" s="40"/>
    </row>
    <row r="95" spans="1:35" ht="14.25">
      <c r="C95" s="16" t="s">
        <v>334</v>
      </c>
      <c r="H95" s="37">
        <f>SUMIF(AI89:AI89, 5, I89:I89)+SUMIF(AI89:AI89, 6, I89:I89)</f>
        <v>0</v>
      </c>
      <c r="I95" s="37"/>
      <c r="J95" s="37">
        <f>SUMIF(AI89:AI89, 5, K89:K89)+SUMIF(AI89:AI89, 6, K89:K89)</f>
        <v>0</v>
      </c>
      <c r="K95" s="37"/>
    </row>
    <row r="96" spans="1:35" ht="14.25">
      <c r="H96" s="37"/>
      <c r="I96" s="37"/>
      <c r="J96" s="37"/>
      <c r="K96" s="37"/>
      <c r="O96" s="35">
        <f>I86+I87+I90+I91+I92+SUM(I89:I89)</f>
        <v>74045.7</v>
      </c>
      <c r="P96" s="35">
        <f>K86+K87+K90+K91+K92+SUM(K89:K89)</f>
        <v>1130557.23</v>
      </c>
      <c r="X96" s="12">
        <f>IF(Source!BI51&lt;=1,I86+I87+I90+I91+I92-0, 0)</f>
        <v>24487.199999999997</v>
      </c>
      <c r="Y96" s="12">
        <f>IF(Source!BI51=2,I86+I87+I90+I91+I92-0, 0)</f>
        <v>0</v>
      </c>
      <c r="Z96" s="12">
        <f>IF(Source!BI51=3,I86+I87+I90+I91+I92-0, 0)</f>
        <v>0</v>
      </c>
      <c r="AA96" s="12">
        <f>IF(Source!BI51=4,I86+I87+I90+I91+I92,0)</f>
        <v>0</v>
      </c>
    </row>
    <row r="98" spans="1:35" ht="60">
      <c r="A98" s="22">
        <v>6</v>
      </c>
      <c r="B98" s="22" t="str">
        <f>Source!F55</f>
        <v>3.47-26-4</v>
      </c>
      <c r="C98" s="22" t="s">
        <v>39</v>
      </c>
      <c r="D98" s="23" t="str">
        <f>Source!H55</f>
        <v>100 м2</v>
      </c>
      <c r="E98" s="24">
        <f>Source!I55</f>
        <v>7.5</v>
      </c>
      <c r="F98" s="25"/>
      <c r="G98" s="26"/>
      <c r="H98" s="24"/>
      <c r="I98" s="25"/>
      <c r="J98" s="24"/>
      <c r="K98" s="25"/>
      <c r="Q98" s="12">
        <f>ROUND((Source!DN55/100)*ROUND((ROUND((Source!AF55*Source!AV55*Source!I55),2)),2), 2)</f>
        <v>5840.01</v>
      </c>
      <c r="R98" s="12">
        <f>Source!X55</f>
        <v>153037.93</v>
      </c>
      <c r="S98" s="12">
        <f>ROUND((Source!DO55/100)*ROUND((ROUND((Source!AF55*Source!AV55*Source!I55),2)),2), 2)</f>
        <v>3154.23</v>
      </c>
      <c r="T98" s="12">
        <f>Source!Y55</f>
        <v>69960.2</v>
      </c>
      <c r="U98" s="12">
        <f>ROUND((175/100)*ROUND((ROUND((Source!AE55*Source!AV55*Source!I55),2)),2), 2)</f>
        <v>0</v>
      </c>
      <c r="V98" s="12">
        <f>ROUND((160/100)*ROUND(ROUND((ROUND((Source!AE55*Source!AV55*Source!I55),2)*Source!BS55),2), 2), 2)</f>
        <v>0</v>
      </c>
      <c r="AI98" s="12">
        <v>0</v>
      </c>
    </row>
    <row r="99" spans="1:35">
      <c r="C99" s="27" t="str">
        <f>"Объем: "&amp;Source!I55&amp;"=(3000)/"&amp;"100*"&amp;"0,25"</f>
        <v>Объем: 7,5=(3000)/100*0,25</v>
      </c>
    </row>
    <row r="100" spans="1:35" ht="15">
      <c r="A100" s="22"/>
      <c r="B100" s="22"/>
      <c r="C100" s="22" t="s">
        <v>324</v>
      </c>
      <c r="D100" s="23"/>
      <c r="E100" s="24"/>
      <c r="F100" s="25">
        <f>Source!AO55</f>
        <v>416.4</v>
      </c>
      <c r="G100" s="26" t="str">
        <f>Source!DG55</f>
        <v/>
      </c>
      <c r="H100" s="24">
        <f>Source!AV55</f>
        <v>1</v>
      </c>
      <c r="I100" s="25">
        <f>ROUND((ROUND((Source!AF55*Source!AV55*Source!I55),2)),2)</f>
        <v>3123</v>
      </c>
      <c r="J100" s="24">
        <f>IF(Source!BA55&lt;&gt; 0, Source!BA55, 1)</f>
        <v>46.67</v>
      </c>
      <c r="K100" s="25">
        <f>Source!S55</f>
        <v>145750.41</v>
      </c>
      <c r="W100" s="12">
        <f>I100</f>
        <v>3123</v>
      </c>
    </row>
    <row r="101" spans="1:35" ht="15">
      <c r="A101" s="22" t="s">
        <v>60</v>
      </c>
      <c r="B101" s="22" t="str">
        <f>Source!F57</f>
        <v>1.4-6-1</v>
      </c>
      <c r="C101" s="22" t="s">
        <v>34</v>
      </c>
      <c r="D101" s="23" t="str">
        <f>Source!H57</f>
        <v>м3</v>
      </c>
      <c r="E101" s="24">
        <f>Source!I57</f>
        <v>112.5</v>
      </c>
      <c r="F101" s="25">
        <f>Source!AK57</f>
        <v>146.84</v>
      </c>
      <c r="G101" s="29" t="s">
        <v>6</v>
      </c>
      <c r="H101" s="24">
        <f>Source!AW57</f>
        <v>1</v>
      </c>
      <c r="I101" s="25">
        <f>ROUND((ROUND((Source!AC57*Source!AW57*Source!I57),2)),2)+(ROUND((ROUND(((Source!ET57)*Source!AV57*Source!I57),2)),2)+ROUND((ROUND(((Source!AE57-(Source!EU57))*Source!AV57*Source!I57),2)),2))+ROUND((ROUND((Source!AF57*Source!AV57*Source!I57),2)),2)</f>
        <v>16519.5</v>
      </c>
      <c r="J101" s="24">
        <f>IF(Source!BC57&lt;&gt; 0, Source!BC57, 1)</f>
        <v>7.81</v>
      </c>
      <c r="K101" s="25">
        <f>Source!O57</f>
        <v>129017.3</v>
      </c>
      <c r="Q101" s="12">
        <f>ROUND((Source!DN57/100)*ROUND((ROUND((Source!AF57*Source!AV57*Source!I57),2)),2), 2)</f>
        <v>0</v>
      </c>
      <c r="R101" s="12">
        <f>Source!X57</f>
        <v>0</v>
      </c>
      <c r="S101" s="12">
        <f>ROUND((Source!DO57/100)*ROUND((ROUND((Source!AF57*Source!AV57*Source!I57),2)),2), 2)</f>
        <v>0</v>
      </c>
      <c r="T101" s="12">
        <f>Source!Y57</f>
        <v>0</v>
      </c>
      <c r="U101" s="12">
        <f>ROUND((175/100)*ROUND((ROUND((Source!AE57*Source!AV57*Source!I57),2)),2), 2)</f>
        <v>0</v>
      </c>
      <c r="V101" s="12">
        <f>ROUND((160/100)*ROUND(ROUND((ROUND((Source!AE57*Source!AV57*Source!I57),2)*Source!BS57),2), 2), 2)</f>
        <v>0</v>
      </c>
      <c r="X101" s="12">
        <f>IF(Source!BI57&lt;=1,I101, 0)</f>
        <v>16519.5</v>
      </c>
      <c r="Y101" s="12">
        <f>IF(Source!BI57=2,I101, 0)</f>
        <v>0</v>
      </c>
      <c r="Z101" s="12">
        <f>IF(Source!BI57=3,I101, 0)</f>
        <v>0</v>
      </c>
      <c r="AA101" s="12">
        <f>IF(Source!BI57=4,I101, 0)</f>
        <v>0</v>
      </c>
      <c r="AI101" s="12">
        <v>3</v>
      </c>
    </row>
    <row r="102" spans="1:35" ht="15">
      <c r="A102" s="22"/>
      <c r="B102" s="22"/>
      <c r="C102" s="22" t="s">
        <v>327</v>
      </c>
      <c r="D102" s="23" t="s">
        <v>328</v>
      </c>
      <c r="E102" s="24">
        <f>Source!DN55</f>
        <v>187</v>
      </c>
      <c r="F102" s="25"/>
      <c r="G102" s="26"/>
      <c r="H102" s="24"/>
      <c r="I102" s="25">
        <f>SUM(Q98:Q101)</f>
        <v>5840.01</v>
      </c>
      <c r="J102" s="24">
        <f>Source!BZ55</f>
        <v>105</v>
      </c>
      <c r="K102" s="25">
        <f>SUM(R98:R101)</f>
        <v>153037.93</v>
      </c>
    </row>
    <row r="103" spans="1:35" ht="15">
      <c r="A103" s="22"/>
      <c r="B103" s="22"/>
      <c r="C103" s="22" t="s">
        <v>329</v>
      </c>
      <c r="D103" s="23" t="s">
        <v>328</v>
      </c>
      <c r="E103" s="24">
        <f>Source!DO55</f>
        <v>101</v>
      </c>
      <c r="F103" s="25"/>
      <c r="G103" s="26"/>
      <c r="H103" s="24"/>
      <c r="I103" s="25">
        <f>SUM(S98:S102)</f>
        <v>3154.23</v>
      </c>
      <c r="J103" s="24">
        <f>Source!CA55</f>
        <v>48</v>
      </c>
      <c r="K103" s="25">
        <f>SUM(T98:T102)</f>
        <v>69960.2</v>
      </c>
    </row>
    <row r="104" spans="1:35" ht="15">
      <c r="A104" s="30"/>
      <c r="B104" s="30"/>
      <c r="C104" s="30" t="s">
        <v>331</v>
      </c>
      <c r="D104" s="31" t="s">
        <v>332</v>
      </c>
      <c r="E104" s="32">
        <f>Source!AQ55</f>
        <v>40</v>
      </c>
      <c r="F104" s="33"/>
      <c r="G104" s="34" t="str">
        <f>Source!DI55</f>
        <v/>
      </c>
      <c r="H104" s="32">
        <f>Source!AV55</f>
        <v>1</v>
      </c>
      <c r="I104" s="33">
        <f>Source!U55</f>
        <v>300</v>
      </c>
      <c r="J104" s="32"/>
      <c r="K104" s="33"/>
      <c r="AB104" s="35">
        <f>I104</f>
        <v>300</v>
      </c>
    </row>
    <row r="105" spans="1:35" ht="14.25">
      <c r="C105" s="16" t="s">
        <v>333</v>
      </c>
      <c r="H105" s="40">
        <f>I100+I102+I103+SUM(I101:I101)-SUMIF(AI101:AI101, 5, I101:I101)-SUMIF(AI101:AI101, 6, I101:I101)</f>
        <v>28636.739999999998</v>
      </c>
      <c r="I105" s="40"/>
      <c r="J105" s="40">
        <f>K100+K102+K103+SUM(K101:K101)-SUMIF(AI101:AI101, 5, K101:K101)-SUMIF(AI101:AI101, 6, K101:K101)</f>
        <v>497765.83999999997</v>
      </c>
      <c r="K105" s="40"/>
    </row>
    <row r="106" spans="1:35" ht="14.25">
      <c r="C106" s="16" t="s">
        <v>334</v>
      </c>
      <c r="H106" s="37">
        <f>SUMIF(AI101:AI101, 5, I101:I101)+SUMIF(AI101:AI101, 6, I101:I101)</f>
        <v>0</v>
      </c>
      <c r="I106" s="37"/>
      <c r="J106" s="37">
        <f>SUMIF(AI101:AI101, 5, K101:K101)+SUMIF(AI101:AI101, 6, K101:K101)</f>
        <v>0</v>
      </c>
      <c r="K106" s="37"/>
    </row>
    <row r="107" spans="1:35" ht="14.25">
      <c r="H107" s="37"/>
      <c r="I107" s="37"/>
      <c r="J107" s="37"/>
      <c r="K107" s="37"/>
      <c r="O107" s="35">
        <f>I100+I102+I103+SUM(I101:I101)</f>
        <v>28636.739999999998</v>
      </c>
      <c r="P107" s="35">
        <f>K100+K102+K103+SUM(K101:K101)</f>
        <v>497765.83999999997</v>
      </c>
      <c r="X107" s="12">
        <f>IF(Source!BI55&lt;=1,I100+I102+I103-0, 0)</f>
        <v>12117.24</v>
      </c>
      <c r="Y107" s="12">
        <f>IF(Source!BI55=2,I100+I102+I103-0, 0)</f>
        <v>0</v>
      </c>
      <c r="Z107" s="12">
        <f>IF(Source!BI55=3,I100+I102+I103-0, 0)</f>
        <v>0</v>
      </c>
      <c r="AA107" s="12">
        <f>IF(Source!BI55=4,I100+I102+I103,0)</f>
        <v>0</v>
      </c>
    </row>
    <row r="109" spans="1:35" ht="60">
      <c r="A109" s="22">
        <v>7</v>
      </c>
      <c r="B109" s="22" t="str">
        <f>Source!F59</f>
        <v>3.47-26-5</v>
      </c>
      <c r="C109" s="22" t="s">
        <v>44</v>
      </c>
      <c r="D109" s="23" t="str">
        <f>Source!H59</f>
        <v>100 м2</v>
      </c>
      <c r="E109" s="24">
        <f>Source!I59</f>
        <v>-8</v>
      </c>
      <c r="F109" s="25"/>
      <c r="G109" s="26"/>
      <c r="H109" s="24"/>
      <c r="I109" s="25"/>
      <c r="J109" s="24"/>
      <c r="K109" s="25"/>
      <c r="Q109" s="12">
        <f>ROUND((Source!DN59/100)*ROUND((ROUND((Source!AF59*Source!AV59*Source!I59),2)),2), 2)</f>
        <v>-1703.64</v>
      </c>
      <c r="R109" s="12">
        <f>Source!X59</f>
        <v>-44644.15</v>
      </c>
      <c r="S109" s="12">
        <f>ROUND((Source!DO59/100)*ROUND((ROUND((Source!AF59*Source!AV59*Source!I59),2)),2), 2)</f>
        <v>-920.15</v>
      </c>
      <c r="T109" s="12">
        <f>Source!Y59</f>
        <v>-20408.759999999998</v>
      </c>
      <c r="U109" s="12">
        <f>ROUND((175/100)*ROUND((ROUND((Source!AE59*Source!AV59*Source!I59),2)),2), 2)</f>
        <v>0</v>
      </c>
      <c r="V109" s="12">
        <f>ROUND((160/100)*ROUND(ROUND((ROUND((Source!AE59*Source!AV59*Source!I59),2)*Source!BS59),2), 2), 2)</f>
        <v>0</v>
      </c>
      <c r="AI109" s="12">
        <v>0</v>
      </c>
    </row>
    <row r="110" spans="1:35">
      <c r="C110" s="27" t="str">
        <f>"Объем: "&amp;Source!I59&amp;"=-"&amp;"("&amp;Source!I34&amp;"+"&amp;""&amp;Source!I38&amp;")"</f>
        <v>Объем: -8=-(6+2)</v>
      </c>
    </row>
    <row r="111" spans="1:35" ht="15">
      <c r="A111" s="22"/>
      <c r="B111" s="22"/>
      <c r="C111" s="22" t="s">
        <v>324</v>
      </c>
      <c r="D111" s="23"/>
      <c r="E111" s="24"/>
      <c r="F111" s="25">
        <f>Source!AO59</f>
        <v>56.94</v>
      </c>
      <c r="G111" s="26" t="str">
        <f>Source!DG59</f>
        <v>*2</v>
      </c>
      <c r="H111" s="24">
        <f>Source!AV59</f>
        <v>1</v>
      </c>
      <c r="I111" s="25">
        <f>ROUND((ROUND((Source!AF59*Source!AV59*Source!I59),2)),2)</f>
        <v>-911.04</v>
      </c>
      <c r="J111" s="24">
        <f>IF(Source!BA59&lt;&gt; 0, Source!BA59, 1)</f>
        <v>46.67</v>
      </c>
      <c r="K111" s="25">
        <f>Source!S59</f>
        <v>-42518.239999999998</v>
      </c>
      <c r="W111" s="12">
        <f>I111</f>
        <v>-911.04</v>
      </c>
    </row>
    <row r="112" spans="1:35" ht="15">
      <c r="A112" s="22" t="s">
        <v>63</v>
      </c>
      <c r="B112" s="22" t="str">
        <f>Source!F61</f>
        <v>1.4-6-1</v>
      </c>
      <c r="C112" s="22" t="s">
        <v>34</v>
      </c>
      <c r="D112" s="23" t="str">
        <f>Source!H61</f>
        <v>м3</v>
      </c>
      <c r="E112" s="24">
        <f>Source!I61</f>
        <v>-80</v>
      </c>
      <c r="F112" s="25">
        <f>Source!AK61</f>
        <v>146.84</v>
      </c>
      <c r="G112" s="29" t="s">
        <v>6</v>
      </c>
      <c r="H112" s="24">
        <f>Source!AW61</f>
        <v>1</v>
      </c>
      <c r="I112" s="25">
        <f>ROUND((ROUND((Source!AC61*Source!AW61*Source!I61),2)),2)+(ROUND((ROUND(((Source!ET61)*Source!AV61*Source!I61),2)),2)+ROUND((ROUND(((Source!AE61-(Source!EU61))*Source!AV61*Source!I61),2)),2))+ROUND((ROUND((Source!AF61*Source!AV61*Source!I61),2)),2)</f>
        <v>-11747.2</v>
      </c>
      <c r="J112" s="24">
        <f>IF(Source!BC61&lt;&gt; 0, Source!BC61, 1)</f>
        <v>7.81</v>
      </c>
      <c r="K112" s="25">
        <f>Source!O61</f>
        <v>-91745.63</v>
      </c>
      <c r="Q112" s="12">
        <f>ROUND((Source!DN61/100)*ROUND((ROUND((Source!AF61*Source!AV61*Source!I61),2)),2), 2)</f>
        <v>0</v>
      </c>
      <c r="R112" s="12">
        <f>Source!X61</f>
        <v>0</v>
      </c>
      <c r="S112" s="12">
        <f>ROUND((Source!DO61/100)*ROUND((ROUND((Source!AF61*Source!AV61*Source!I61),2)),2), 2)</f>
        <v>0</v>
      </c>
      <c r="T112" s="12">
        <f>Source!Y61</f>
        <v>0</v>
      </c>
      <c r="U112" s="12">
        <f>ROUND((175/100)*ROUND((ROUND((Source!AE61*Source!AV61*Source!I61),2)),2), 2)</f>
        <v>0</v>
      </c>
      <c r="V112" s="12">
        <f>ROUND((160/100)*ROUND(ROUND((ROUND((Source!AE61*Source!AV61*Source!I61),2)*Source!BS61),2), 2), 2)</f>
        <v>0</v>
      </c>
      <c r="X112" s="12">
        <f>IF(Source!BI61&lt;=1,I112, 0)</f>
        <v>-11747.2</v>
      </c>
      <c r="Y112" s="12">
        <f>IF(Source!BI61=2,I112, 0)</f>
        <v>0</v>
      </c>
      <c r="Z112" s="12">
        <f>IF(Source!BI61=3,I112, 0)</f>
        <v>0</v>
      </c>
      <c r="AA112" s="12">
        <f>IF(Source!BI61=4,I112, 0)</f>
        <v>0</v>
      </c>
      <c r="AI112" s="12">
        <v>3</v>
      </c>
    </row>
    <row r="113" spans="1:35" ht="15">
      <c r="A113" s="22"/>
      <c r="B113" s="22"/>
      <c r="C113" s="22" t="s">
        <v>327</v>
      </c>
      <c r="D113" s="23" t="s">
        <v>328</v>
      </c>
      <c r="E113" s="24">
        <f>Source!DN59</f>
        <v>187</v>
      </c>
      <c r="F113" s="25"/>
      <c r="G113" s="26"/>
      <c r="H113" s="24"/>
      <c r="I113" s="25">
        <f>SUM(Q109:Q112)</f>
        <v>-1703.64</v>
      </c>
      <c r="J113" s="24">
        <f>Source!BZ59</f>
        <v>105</v>
      </c>
      <c r="K113" s="25">
        <f>SUM(R109:R112)</f>
        <v>-44644.15</v>
      </c>
    </row>
    <row r="114" spans="1:35" ht="15">
      <c r="A114" s="22"/>
      <c r="B114" s="22"/>
      <c r="C114" s="22" t="s">
        <v>329</v>
      </c>
      <c r="D114" s="23" t="s">
        <v>328</v>
      </c>
      <c r="E114" s="24">
        <f>Source!DO59</f>
        <v>101</v>
      </c>
      <c r="F114" s="25"/>
      <c r="G114" s="26"/>
      <c r="H114" s="24"/>
      <c r="I114" s="25">
        <f>SUM(S109:S113)</f>
        <v>-920.15</v>
      </c>
      <c r="J114" s="24">
        <f>Source!CA59</f>
        <v>48</v>
      </c>
      <c r="K114" s="25">
        <f>SUM(T109:T113)</f>
        <v>-20408.759999999998</v>
      </c>
    </row>
    <row r="115" spans="1:35" ht="15">
      <c r="A115" s="30"/>
      <c r="B115" s="30"/>
      <c r="C115" s="30" t="s">
        <v>331</v>
      </c>
      <c r="D115" s="31" t="s">
        <v>332</v>
      </c>
      <c r="E115" s="32">
        <f>Source!AQ59</f>
        <v>5.47</v>
      </c>
      <c r="F115" s="33"/>
      <c r="G115" s="34" t="str">
        <f>Source!DI59</f>
        <v>*2</v>
      </c>
      <c r="H115" s="32">
        <f>Source!AV59</f>
        <v>1</v>
      </c>
      <c r="I115" s="33">
        <f>Source!U59</f>
        <v>-87.52</v>
      </c>
      <c r="J115" s="32"/>
      <c r="K115" s="33"/>
      <c r="AB115" s="35">
        <f>I115</f>
        <v>-87.52</v>
      </c>
    </row>
    <row r="116" spans="1:35" ht="14.25">
      <c r="C116" s="16" t="s">
        <v>333</v>
      </c>
      <c r="H116" s="40">
        <f>I111+I113+I114+SUM(I112:I112)-SUMIF(AI112:AI112, 5, I112:I112)-SUMIF(AI112:AI112, 6, I112:I112)</f>
        <v>-15282.03</v>
      </c>
      <c r="I116" s="40"/>
      <c r="J116" s="40">
        <f>K111+K113+K114+SUM(K112:K112)-SUMIF(AI112:AI112, 5, K112:K112)-SUMIF(AI112:AI112, 6, K112:K112)</f>
        <v>-199316.78</v>
      </c>
      <c r="K116" s="40"/>
    </row>
    <row r="117" spans="1:35" ht="14.25">
      <c r="C117" s="16" t="s">
        <v>334</v>
      </c>
      <c r="H117" s="37">
        <f>SUMIF(AI112:AI112, 5, I112:I112)+SUMIF(AI112:AI112, 6, I112:I112)</f>
        <v>0</v>
      </c>
      <c r="I117" s="37"/>
      <c r="J117" s="37">
        <f>SUMIF(AI112:AI112, 5, K112:K112)+SUMIF(AI112:AI112, 6, K112:K112)</f>
        <v>0</v>
      </c>
      <c r="K117" s="37"/>
    </row>
    <row r="118" spans="1:35" ht="14.25">
      <c r="H118" s="37"/>
      <c r="I118" s="37"/>
      <c r="J118" s="37"/>
      <c r="K118" s="37"/>
      <c r="O118" s="35">
        <f>I111+I113+I114+SUM(I112:I112)</f>
        <v>-15282.03</v>
      </c>
      <c r="P118" s="35">
        <f>K111+K113+K114+SUM(K112:K112)</f>
        <v>-199316.78</v>
      </c>
      <c r="X118" s="12">
        <f>IF(Source!BI59&lt;=1,I111+I113+I114-0, 0)</f>
        <v>-3534.8300000000004</v>
      </c>
      <c r="Y118" s="12">
        <f>IF(Source!BI59=2,I111+I113+I114-0, 0)</f>
        <v>0</v>
      </c>
      <c r="Z118" s="12">
        <f>IF(Source!BI59=3,I111+I113+I114-0, 0)</f>
        <v>0</v>
      </c>
      <c r="AA118" s="12">
        <f>IF(Source!BI59=4,I111+I113+I114,0)</f>
        <v>0</v>
      </c>
    </row>
    <row r="120" spans="1:35" ht="30">
      <c r="A120" s="22">
        <v>8</v>
      </c>
      <c r="B120" s="22" t="str">
        <f>Source!F63</f>
        <v>3.47-26-6</v>
      </c>
      <c r="C120" s="22" t="s">
        <v>49</v>
      </c>
      <c r="D120" s="23" t="str">
        <f>Source!H63</f>
        <v>100 м2</v>
      </c>
      <c r="E120" s="24">
        <f>Source!I63</f>
        <v>8</v>
      </c>
      <c r="F120" s="25"/>
      <c r="G120" s="26"/>
      <c r="H120" s="24"/>
      <c r="I120" s="25"/>
      <c r="J120" s="24"/>
      <c r="K120" s="25"/>
      <c r="Q120" s="12">
        <f>ROUND((Source!DN63/100)*ROUND((ROUND((Source!AF63*Source!AV63*Source!I63),2)),2), 2)</f>
        <v>878.15</v>
      </c>
      <c r="R120" s="12">
        <f>Source!X63</f>
        <v>23012.04</v>
      </c>
      <c r="S120" s="12">
        <f>ROUND((Source!DO63/100)*ROUND((ROUND((Source!AF63*Source!AV63*Source!I63),2)),2), 2)</f>
        <v>474.3</v>
      </c>
      <c r="T120" s="12">
        <f>Source!Y63</f>
        <v>10519.79</v>
      </c>
      <c r="U120" s="12">
        <f>ROUND((175/100)*ROUND((ROUND((Source!AE63*Source!AV63*Source!I63),2)),2), 2)</f>
        <v>0</v>
      </c>
      <c r="V120" s="12">
        <f>ROUND((160/100)*ROUND(ROUND((ROUND((Source!AE63*Source!AV63*Source!I63),2)*Source!BS63),2), 2), 2)</f>
        <v>0</v>
      </c>
      <c r="AI120" s="12">
        <v>0</v>
      </c>
    </row>
    <row r="121" spans="1:35" ht="15">
      <c r="A121" s="22"/>
      <c r="B121" s="22"/>
      <c r="C121" s="22" t="s">
        <v>324</v>
      </c>
      <c r="D121" s="23"/>
      <c r="E121" s="24"/>
      <c r="F121" s="25">
        <f>Source!AO63</f>
        <v>58.7</v>
      </c>
      <c r="G121" s="26" t="str">
        <f>Source!DG63</f>
        <v/>
      </c>
      <c r="H121" s="24">
        <f>Source!AV63</f>
        <v>1</v>
      </c>
      <c r="I121" s="25">
        <f>ROUND((ROUND((Source!AF63*Source!AV63*Source!I63),2)),2)</f>
        <v>469.6</v>
      </c>
      <c r="J121" s="24">
        <f>IF(Source!BA63&lt;&gt; 0, Source!BA63, 1)</f>
        <v>46.67</v>
      </c>
      <c r="K121" s="25">
        <f>Source!S63</f>
        <v>21916.23</v>
      </c>
      <c r="W121" s="12">
        <f>I121</f>
        <v>469.6</v>
      </c>
    </row>
    <row r="122" spans="1:35" ht="15">
      <c r="A122" s="22"/>
      <c r="B122" s="22"/>
      <c r="C122" s="22" t="s">
        <v>335</v>
      </c>
      <c r="D122" s="23"/>
      <c r="E122" s="24"/>
      <c r="F122" s="25">
        <f>Source!AL63</f>
        <v>70.7</v>
      </c>
      <c r="G122" s="26" t="str">
        <f>Source!DD63</f>
        <v/>
      </c>
      <c r="H122" s="24">
        <f>Source!AW63</f>
        <v>1</v>
      </c>
      <c r="I122" s="25">
        <f>ROUND((ROUND((Source!AC63*Source!AW63*Source!I63),2)),2)</f>
        <v>565.6</v>
      </c>
      <c r="J122" s="24">
        <f>IF(Source!BC63&lt;&gt; 0, Source!BC63, 1)</f>
        <v>7.05</v>
      </c>
      <c r="K122" s="25">
        <f>Source!P63</f>
        <v>3987.48</v>
      </c>
    </row>
    <row r="123" spans="1:35" ht="30">
      <c r="A123" s="22" t="s">
        <v>65</v>
      </c>
      <c r="B123" s="22" t="str">
        <f>Source!F65</f>
        <v>1.4-6-6</v>
      </c>
      <c r="C123" s="22" t="s">
        <v>53</v>
      </c>
      <c r="D123" s="23" t="str">
        <f>Source!H65</f>
        <v>кг</v>
      </c>
      <c r="E123" s="24">
        <f>Source!I65</f>
        <v>32</v>
      </c>
      <c r="F123" s="25">
        <f>Source!AK65</f>
        <v>57.93</v>
      </c>
      <c r="G123" s="29" t="s">
        <v>6</v>
      </c>
      <c r="H123" s="24">
        <f>Source!AW65</f>
        <v>1</v>
      </c>
      <c r="I123" s="25">
        <f>ROUND((ROUND((Source!AC65*Source!AW65*Source!I65),2)),2)+(ROUND((ROUND(((Source!ET65)*Source!AV65*Source!I65),2)),2)+ROUND((ROUND(((Source!AE65-(Source!EU65))*Source!AV65*Source!I65),2)),2))+ROUND((ROUND((Source!AF65*Source!AV65*Source!I65),2)),2)</f>
        <v>1853.76</v>
      </c>
      <c r="J123" s="24">
        <f>IF(Source!BC65&lt;&gt; 0, Source!BC65, 1)</f>
        <v>2.58</v>
      </c>
      <c r="K123" s="25">
        <f>Source!O65</f>
        <v>4782.7</v>
      </c>
      <c r="Q123" s="12">
        <f>ROUND((Source!DN65/100)*ROUND((ROUND((Source!AF65*Source!AV65*Source!I65),2)),2), 2)</f>
        <v>0</v>
      </c>
      <c r="R123" s="12">
        <f>Source!X65</f>
        <v>0</v>
      </c>
      <c r="S123" s="12">
        <f>ROUND((Source!DO65/100)*ROUND((ROUND((Source!AF65*Source!AV65*Source!I65),2)),2), 2)</f>
        <v>0</v>
      </c>
      <c r="T123" s="12">
        <f>Source!Y65</f>
        <v>0</v>
      </c>
      <c r="U123" s="12">
        <f>ROUND((175/100)*ROUND((ROUND((Source!AE65*Source!AV65*Source!I65),2)),2), 2)</f>
        <v>0</v>
      </c>
      <c r="V123" s="12">
        <f>ROUND((160/100)*ROUND(ROUND((ROUND((Source!AE65*Source!AV65*Source!I65),2)*Source!BS65),2), 2), 2)</f>
        <v>0</v>
      </c>
      <c r="X123" s="12">
        <f>IF(Source!BI65&lt;=1,I123, 0)</f>
        <v>1853.76</v>
      </c>
      <c r="Y123" s="12">
        <f>IF(Source!BI65=2,I123, 0)</f>
        <v>0</v>
      </c>
      <c r="Z123" s="12">
        <f>IF(Source!BI65=3,I123, 0)</f>
        <v>0</v>
      </c>
      <c r="AA123" s="12">
        <f>IF(Source!BI65=4,I123, 0)</f>
        <v>0</v>
      </c>
      <c r="AI123" s="12">
        <v>3</v>
      </c>
    </row>
    <row r="124" spans="1:35" ht="15">
      <c r="A124" s="22"/>
      <c r="B124" s="22"/>
      <c r="C124" s="22" t="s">
        <v>327</v>
      </c>
      <c r="D124" s="23" t="s">
        <v>328</v>
      </c>
      <c r="E124" s="24">
        <f>Source!DN63</f>
        <v>187</v>
      </c>
      <c r="F124" s="25"/>
      <c r="G124" s="26"/>
      <c r="H124" s="24"/>
      <c r="I124" s="25">
        <f>SUM(Q120:Q123)</f>
        <v>878.15</v>
      </c>
      <c r="J124" s="24">
        <f>Source!BZ63</f>
        <v>105</v>
      </c>
      <c r="K124" s="25">
        <f>SUM(R120:R123)</f>
        <v>23012.04</v>
      </c>
    </row>
    <row r="125" spans="1:35" ht="15">
      <c r="A125" s="22"/>
      <c r="B125" s="22"/>
      <c r="C125" s="22" t="s">
        <v>329</v>
      </c>
      <c r="D125" s="23" t="s">
        <v>328</v>
      </c>
      <c r="E125" s="24">
        <f>Source!DO63</f>
        <v>101</v>
      </c>
      <c r="F125" s="25"/>
      <c r="G125" s="26"/>
      <c r="H125" s="24"/>
      <c r="I125" s="25">
        <f>SUM(S120:S124)</f>
        <v>474.3</v>
      </c>
      <c r="J125" s="24">
        <f>Source!CA63</f>
        <v>48</v>
      </c>
      <c r="K125" s="25">
        <f>SUM(T120:T124)</f>
        <v>10519.79</v>
      </c>
    </row>
    <row r="126" spans="1:35" ht="15">
      <c r="A126" s="30"/>
      <c r="B126" s="30"/>
      <c r="C126" s="30" t="s">
        <v>331</v>
      </c>
      <c r="D126" s="31" t="s">
        <v>332</v>
      </c>
      <c r="E126" s="32">
        <f>Source!AQ63</f>
        <v>5.25</v>
      </c>
      <c r="F126" s="33"/>
      <c r="G126" s="34" t="str">
        <f>Source!DI63</f>
        <v/>
      </c>
      <c r="H126" s="32">
        <f>Source!AV63</f>
        <v>1</v>
      </c>
      <c r="I126" s="33">
        <f>Source!U63</f>
        <v>42</v>
      </c>
      <c r="J126" s="32"/>
      <c r="K126" s="33"/>
      <c r="AB126" s="35">
        <f>I126</f>
        <v>42</v>
      </c>
    </row>
    <row r="127" spans="1:35" ht="14.25">
      <c r="C127" s="16" t="s">
        <v>333</v>
      </c>
      <c r="H127" s="40">
        <f>I121+I122+I124+I125+SUM(I123:I123)-SUMIF(AI123:AI123, 5, I123:I123)-SUMIF(AI123:AI123, 6, I123:I123)</f>
        <v>4241.41</v>
      </c>
      <c r="I127" s="40"/>
      <c r="J127" s="40">
        <f>K121+K122+K124+K125+SUM(K123:K123)-SUMIF(AI123:AI123, 5, K123:K123)-SUMIF(AI123:AI123, 6, K123:K123)</f>
        <v>64218.239999999998</v>
      </c>
      <c r="K127" s="40"/>
    </row>
    <row r="128" spans="1:35" ht="14.25">
      <c r="C128" s="16" t="s">
        <v>334</v>
      </c>
      <c r="H128" s="37">
        <f>SUMIF(AI123:AI123, 5, I123:I123)+SUMIF(AI123:AI123, 6, I123:I123)</f>
        <v>0</v>
      </c>
      <c r="I128" s="37"/>
      <c r="J128" s="37">
        <f>SUMIF(AI123:AI123, 5, K123:K123)+SUMIF(AI123:AI123, 6, K123:K123)</f>
        <v>0</v>
      </c>
      <c r="K128" s="37"/>
    </row>
    <row r="129" spans="1:27" ht="14.25">
      <c r="H129" s="37"/>
      <c r="I129" s="37"/>
      <c r="J129" s="37"/>
      <c r="K129" s="37"/>
      <c r="O129" s="35">
        <f>I121+I122+I124+I125+SUM(I123:I123)</f>
        <v>4241.41</v>
      </c>
      <c r="P129" s="35">
        <f>K121+K122+K124+K125+SUM(K123:K123)</f>
        <v>64218.239999999998</v>
      </c>
      <c r="X129" s="12">
        <f>IF(Source!BI63&lt;=1,I121+I122+I124+I125-0, 0)</f>
        <v>2387.65</v>
      </c>
      <c r="Y129" s="12">
        <f>IF(Source!BI63=2,I121+I122+I124+I125-0, 0)</f>
        <v>0</v>
      </c>
      <c r="Z129" s="12">
        <f>IF(Source!BI63=3,I121+I122+I124+I125-0, 0)</f>
        <v>0</v>
      </c>
      <c r="AA129" s="12">
        <f>IF(Source!BI63=4,I121+I122+I124+I125,0)</f>
        <v>0</v>
      </c>
    </row>
    <row r="132" spans="1:27" ht="14.25">
      <c r="A132" s="39" t="str">
        <f>CONCATENATE("Итого по подразделу: ",IF(Source!G67&lt;&gt;"Новый подраздел", Source!G67, ""))</f>
        <v>Итого по подразделу: Газон  направлением  СП 60401 до ТП 28274</v>
      </c>
      <c r="B132" s="39"/>
      <c r="C132" s="39"/>
      <c r="D132" s="39"/>
      <c r="E132" s="39"/>
      <c r="F132" s="39"/>
      <c r="G132" s="39"/>
      <c r="H132" s="37">
        <f>SUM(O32:O131)</f>
        <v>130906.23999999999</v>
      </c>
      <c r="I132" s="38"/>
      <c r="J132" s="37">
        <f>SUM(P32:P131)</f>
        <v>2091320.5499999998</v>
      </c>
      <c r="K132" s="38"/>
    </row>
    <row r="133" spans="1:27" hidden="1">
      <c r="A133" s="12" t="s">
        <v>336</v>
      </c>
      <c r="H133" s="12">
        <f>SUM(AC32:AC132)</f>
        <v>0</v>
      </c>
      <c r="J133" s="12">
        <f>SUM(AD32:AD132)</f>
        <v>0</v>
      </c>
    </row>
    <row r="134" spans="1:27" hidden="1">
      <c r="A134" s="12" t="s">
        <v>337</v>
      </c>
      <c r="H134" s="12">
        <f>SUM(AE32:AE133)</f>
        <v>0</v>
      </c>
      <c r="J134" s="12">
        <f>SUM(AF32:AF133)</f>
        <v>0</v>
      </c>
    </row>
    <row r="136" spans="1:27" ht="14.25">
      <c r="A136" s="39" t="str">
        <f>CONCATENATE("Итого по разделу: ",IF(Source!G97&lt;&gt;"Новый раздел", Source!G97, ""))</f>
        <v>Итого по разделу: Газон</v>
      </c>
      <c r="B136" s="39"/>
      <c r="C136" s="39"/>
      <c r="D136" s="39"/>
      <c r="E136" s="39"/>
      <c r="F136" s="39"/>
      <c r="G136" s="39"/>
      <c r="H136" s="37">
        <f>SUM(O30:O135)</f>
        <v>130906.23999999999</v>
      </c>
      <c r="I136" s="38"/>
      <c r="J136" s="37">
        <f>SUM(P30:P135)</f>
        <v>2091320.5499999998</v>
      </c>
      <c r="K136" s="38"/>
    </row>
    <row r="137" spans="1:27" hidden="1">
      <c r="A137" s="12" t="s">
        <v>336</v>
      </c>
      <c r="H137" s="12">
        <f>SUM(AC30:AC136)</f>
        <v>0</v>
      </c>
      <c r="J137" s="12">
        <f>SUM(AD30:AD136)</f>
        <v>0</v>
      </c>
    </row>
    <row r="138" spans="1:27" hidden="1">
      <c r="A138" s="12" t="s">
        <v>337</v>
      </c>
      <c r="H138" s="12">
        <f>SUM(AE30:AE137)</f>
        <v>0</v>
      </c>
      <c r="J138" s="12">
        <f>SUM(AF30:AF137)</f>
        <v>0</v>
      </c>
    </row>
    <row r="140" spans="1:27" ht="16.5">
      <c r="A140" s="42" t="str">
        <f>CONCATENATE("Раздел: ",IF(Source!G127&lt;&gt;"Новый раздел", Source!G127, ""))</f>
        <v>Раздел: Благоустройство</v>
      </c>
      <c r="B140" s="42"/>
      <c r="C140" s="42"/>
      <c r="D140" s="42"/>
      <c r="E140" s="42"/>
      <c r="F140" s="42"/>
      <c r="G140" s="42"/>
      <c r="H140" s="42"/>
      <c r="I140" s="42"/>
      <c r="J140" s="42"/>
      <c r="K140" s="42"/>
    </row>
    <row r="142" spans="1:27" ht="16.5">
      <c r="A142" s="42" t="str">
        <f>CONCATENATE("Подраздел: ",IF(Source!G131&lt;&gt;"Новый подраздел", Source!G131, ""))</f>
        <v>Подраздел: Разборка и восстановление  покрытий  направлением  СП 60401 - ТП 28274</v>
      </c>
      <c r="B142" s="42"/>
      <c r="C142" s="42"/>
      <c r="D142" s="42"/>
      <c r="E142" s="42"/>
      <c r="F142" s="42"/>
      <c r="G142" s="42"/>
      <c r="H142" s="42"/>
      <c r="I142" s="42"/>
      <c r="J142" s="42"/>
      <c r="K142" s="42"/>
    </row>
    <row r="144" spans="1:27" ht="14.25">
      <c r="B144" s="41" t="str">
        <f>Source!G135</f>
        <v>Разборка проезжей части  по траншее ( 1514,4 м2)</v>
      </c>
      <c r="C144" s="41"/>
      <c r="D144" s="41"/>
      <c r="E144" s="41"/>
      <c r="F144" s="41"/>
      <c r="G144" s="41"/>
      <c r="H144" s="41"/>
      <c r="I144" s="41"/>
      <c r="J144" s="41"/>
    </row>
    <row r="145" spans="1:35" ht="45">
      <c r="A145" s="22">
        <v>9</v>
      </c>
      <c r="B145" s="22" t="str">
        <f>Source!F137</f>
        <v>6.68-51-4</v>
      </c>
      <c r="C145" s="22" t="s">
        <v>124</v>
      </c>
      <c r="D145" s="23" t="str">
        <f>Source!H137</f>
        <v>100 м3 конструкций</v>
      </c>
      <c r="E145" s="24">
        <f>Source!I137</f>
        <v>1.66584</v>
      </c>
      <c r="F145" s="25"/>
      <c r="G145" s="26"/>
      <c r="H145" s="24"/>
      <c r="I145" s="25"/>
      <c r="J145" s="24"/>
      <c r="K145" s="25"/>
      <c r="Q145" s="12">
        <f>ROUND((Source!DN137/100)*ROUND((ROUND((Source!AF137*Source!AV137*Source!I137),2)),2), 2)</f>
        <v>2355.21</v>
      </c>
      <c r="R145" s="12">
        <f>Source!X137</f>
        <v>96177.87</v>
      </c>
      <c r="S145" s="12">
        <f>ROUND((Source!DO137/100)*ROUND((ROUND((Source!AF137*Source!AV137*Source!I137),2)),2), 2)</f>
        <v>1619.21</v>
      </c>
      <c r="T145" s="12">
        <f>Source!Y137</f>
        <v>56332.75</v>
      </c>
      <c r="U145" s="12">
        <f>ROUND((175/100)*ROUND((ROUND((Source!AE137*Source!AV137*Source!I137),2)),2), 2)</f>
        <v>1535.24</v>
      </c>
      <c r="V145" s="12">
        <f>ROUND((160/100)*ROUND(ROUND((ROUND((Source!AE137*Source!AV137*Source!I137),2)*Source!BS137),2), 2), 2)</f>
        <v>65508.26</v>
      </c>
      <c r="AI145" s="12">
        <v>0</v>
      </c>
    </row>
    <row r="146" spans="1:35">
      <c r="C146" s="27" t="str">
        <f>"Объем: "&amp;Source!I137&amp;"=(1514,4*"&amp;"(0,05+"&amp;"0,06))/"&amp;"100"</f>
        <v>Объем: 1,66584=(1514,4*(0,05+0,06))/100</v>
      </c>
    </row>
    <row r="147" spans="1:35" ht="15">
      <c r="A147" s="22"/>
      <c r="B147" s="22"/>
      <c r="C147" s="22" t="s">
        <v>324</v>
      </c>
      <c r="D147" s="23"/>
      <c r="E147" s="24"/>
      <c r="F147" s="25">
        <f>Source!AO137</f>
        <v>1687.95</v>
      </c>
      <c r="G147" s="26" t="str">
        <f>Source!DG137</f>
        <v/>
      </c>
      <c r="H147" s="24">
        <f>Source!AV137</f>
        <v>1.0469999999999999</v>
      </c>
      <c r="I147" s="25">
        <f>ROUND((ROUND((Source!AF137*Source!AV137*Source!I137),2)),2)</f>
        <v>2944.01</v>
      </c>
      <c r="J147" s="24">
        <f>IF(Source!BA137&lt;&gt; 0, Source!BA137, 1)</f>
        <v>46.67</v>
      </c>
      <c r="K147" s="25">
        <f>Source!S137</f>
        <v>137396.95000000001</v>
      </c>
      <c r="W147" s="12">
        <f>I147</f>
        <v>2944.01</v>
      </c>
    </row>
    <row r="148" spans="1:35" ht="15">
      <c r="A148" s="22"/>
      <c r="B148" s="22"/>
      <c r="C148" s="22" t="s">
        <v>325</v>
      </c>
      <c r="D148" s="23"/>
      <c r="E148" s="24"/>
      <c r="F148" s="25">
        <f>Source!AM137</f>
        <v>1935.93</v>
      </c>
      <c r="G148" s="26" t="str">
        <f>Source!DE137</f>
        <v/>
      </c>
      <c r="H148" s="24">
        <f>Source!AV137</f>
        <v>1.0469999999999999</v>
      </c>
      <c r="I148" s="25">
        <f>(ROUND((ROUND(((Source!ET137)*Source!AV137*Source!I137),2)),2)+ROUND((ROUND(((Source!AE137-(Source!EU137))*Source!AV137*Source!I137),2)),2))</f>
        <v>3376.52</v>
      </c>
      <c r="J148" s="24">
        <f>IF(Source!BB137&lt;&gt; 0, Source!BB137, 1)</f>
        <v>20.11</v>
      </c>
      <c r="K148" s="25">
        <f>Source!Q137</f>
        <v>67901.820000000007</v>
      </c>
    </row>
    <row r="149" spans="1:35" ht="15">
      <c r="A149" s="22"/>
      <c r="B149" s="22"/>
      <c r="C149" s="22" t="s">
        <v>326</v>
      </c>
      <c r="D149" s="23"/>
      <c r="E149" s="24"/>
      <c r="F149" s="25">
        <f>Source!AN137</f>
        <v>502.99</v>
      </c>
      <c r="G149" s="26" t="str">
        <f>Source!DF137</f>
        <v/>
      </c>
      <c r="H149" s="24">
        <f>Source!AV137</f>
        <v>1.0469999999999999</v>
      </c>
      <c r="I149" s="28">
        <f>ROUND((ROUND((Source!AE137*Source!AV137*Source!I137),2)),2)</f>
        <v>877.28</v>
      </c>
      <c r="J149" s="24">
        <f>IF(Source!BS137&lt;&gt; 0, Source!BS137, 1)</f>
        <v>46.67</v>
      </c>
      <c r="K149" s="28">
        <f>Source!R137</f>
        <v>40942.660000000003</v>
      </c>
      <c r="W149" s="12">
        <f>I149</f>
        <v>877.28</v>
      </c>
    </row>
    <row r="150" spans="1:35" ht="15">
      <c r="A150" s="22"/>
      <c r="B150" s="22"/>
      <c r="C150" s="22" t="s">
        <v>327</v>
      </c>
      <c r="D150" s="23" t="s">
        <v>328</v>
      </c>
      <c r="E150" s="24">
        <f>Source!DN137</f>
        <v>80</v>
      </c>
      <c r="F150" s="25"/>
      <c r="G150" s="26"/>
      <c r="H150" s="24"/>
      <c r="I150" s="25">
        <f>SUM(Q145:Q149)</f>
        <v>2355.21</v>
      </c>
      <c r="J150" s="24">
        <f>Source!BZ137</f>
        <v>70</v>
      </c>
      <c r="K150" s="25">
        <f>SUM(R145:R149)</f>
        <v>96177.87</v>
      </c>
    </row>
    <row r="151" spans="1:35" ht="15">
      <c r="A151" s="22"/>
      <c r="B151" s="22"/>
      <c r="C151" s="22" t="s">
        <v>329</v>
      </c>
      <c r="D151" s="23" t="s">
        <v>328</v>
      </c>
      <c r="E151" s="24">
        <f>Source!DO137</f>
        <v>55</v>
      </c>
      <c r="F151" s="25"/>
      <c r="G151" s="26"/>
      <c r="H151" s="24"/>
      <c r="I151" s="25">
        <f>SUM(S145:S150)</f>
        <v>1619.21</v>
      </c>
      <c r="J151" s="24">
        <f>Source!CA137</f>
        <v>41</v>
      </c>
      <c r="K151" s="25">
        <f>SUM(T145:T150)</f>
        <v>56332.75</v>
      </c>
    </row>
    <row r="152" spans="1:35" ht="15">
      <c r="A152" s="22"/>
      <c r="B152" s="22"/>
      <c r="C152" s="22" t="s">
        <v>330</v>
      </c>
      <c r="D152" s="23" t="s">
        <v>328</v>
      </c>
      <c r="E152" s="24">
        <f>175</f>
        <v>175</v>
      </c>
      <c r="F152" s="25"/>
      <c r="G152" s="26"/>
      <c r="H152" s="24"/>
      <c r="I152" s="25">
        <f>SUM(U145:U151)</f>
        <v>1535.24</v>
      </c>
      <c r="J152" s="24">
        <f>160</f>
        <v>160</v>
      </c>
      <c r="K152" s="25">
        <f>SUM(V145:V151)</f>
        <v>65508.26</v>
      </c>
    </row>
    <row r="153" spans="1:35" ht="15">
      <c r="A153" s="30"/>
      <c r="B153" s="30"/>
      <c r="C153" s="30" t="s">
        <v>331</v>
      </c>
      <c r="D153" s="31" t="s">
        <v>332</v>
      </c>
      <c r="E153" s="32">
        <f>Source!AQ137</f>
        <v>155</v>
      </c>
      <c r="F153" s="33"/>
      <c r="G153" s="34" t="str">
        <f>Source!DI137</f>
        <v/>
      </c>
      <c r="H153" s="32">
        <f>Source!AV137</f>
        <v>1.0469999999999999</v>
      </c>
      <c r="I153" s="33">
        <f>Source!U137</f>
        <v>270.34084439999998</v>
      </c>
      <c r="J153" s="32"/>
      <c r="K153" s="33"/>
      <c r="AB153" s="35">
        <f>I153</f>
        <v>270.34084439999998</v>
      </c>
    </row>
    <row r="154" spans="1:35" ht="14.25">
      <c r="C154" s="16" t="s">
        <v>333</v>
      </c>
      <c r="H154" s="40">
        <f>I147+I148+I150+I151+I152+0-0-0</f>
        <v>11830.19</v>
      </c>
      <c r="I154" s="40"/>
      <c r="J154" s="40">
        <f>K147+K148+K150+K151+K152+0-0-0</f>
        <v>423317.65</v>
      </c>
      <c r="K154" s="40"/>
    </row>
    <row r="155" spans="1:35" ht="14.25">
      <c r="C155" s="16" t="s">
        <v>334</v>
      </c>
      <c r="H155" s="37">
        <f>0+0</f>
        <v>0</v>
      </c>
      <c r="I155" s="37"/>
      <c r="J155" s="37">
        <f>0+0</f>
        <v>0</v>
      </c>
      <c r="K155" s="37"/>
    </row>
    <row r="156" spans="1:35" ht="14.25">
      <c r="H156" s="37"/>
      <c r="I156" s="37"/>
      <c r="J156" s="37"/>
      <c r="K156" s="37"/>
      <c r="O156" s="35">
        <f>I147+I148+I150+I151+I152+0</f>
        <v>11830.19</v>
      </c>
      <c r="P156" s="35">
        <f>K147+K148+K150+K151+K152+0</f>
        <v>423317.65</v>
      </c>
      <c r="X156" s="12">
        <f>IF(Source!BI137&lt;=1,I147+I148+I150+I151+I152-0, 0)</f>
        <v>11830.19</v>
      </c>
      <c r="Y156" s="12">
        <f>IF(Source!BI137=2,I147+I148+I150+I151+I152-0, 0)</f>
        <v>0</v>
      </c>
      <c r="Z156" s="12">
        <f>IF(Source!BI137=3,I147+I148+I150+I151+I152-0, 0)</f>
        <v>0</v>
      </c>
      <c r="AA156" s="12">
        <f>IF(Source!BI137=4,I147+I148+I150+I151+I152,0)</f>
        <v>0</v>
      </c>
    </row>
    <row r="158" spans="1:35" ht="45">
      <c r="A158" s="22">
        <v>10</v>
      </c>
      <c r="B158" s="22" t="str">
        <f>Source!F139</f>
        <v>6.68-51-5</v>
      </c>
      <c r="C158" s="22" t="s">
        <v>132</v>
      </c>
      <c r="D158" s="23" t="str">
        <f>Source!H139</f>
        <v>100 м3 конструкций</v>
      </c>
      <c r="E158" s="24">
        <f>Source!I139</f>
        <v>2.4230399999999999</v>
      </c>
      <c r="F158" s="25"/>
      <c r="G158" s="26"/>
      <c r="H158" s="24"/>
      <c r="I158" s="25"/>
      <c r="J158" s="24"/>
      <c r="K158" s="25"/>
      <c r="Q158" s="12">
        <f>ROUND((Source!DN139/100)*ROUND((ROUND((Source!AF139*Source!AV139*Source!I139),2)),2), 2)</f>
        <v>1267.83</v>
      </c>
      <c r="R158" s="12">
        <f>Source!X139</f>
        <v>51773.51</v>
      </c>
      <c r="S158" s="12">
        <f>ROUND((Source!DO139/100)*ROUND((ROUND((Source!AF139*Source!AV139*Source!I139),2)),2), 2)</f>
        <v>871.63</v>
      </c>
      <c r="T158" s="12">
        <f>Source!Y139</f>
        <v>30324.48</v>
      </c>
      <c r="U158" s="12">
        <f>ROUND((175/100)*ROUND((ROUND((Source!AE139*Source!AV139*Source!I139),2)),2), 2)</f>
        <v>781.5</v>
      </c>
      <c r="V158" s="12">
        <f>ROUND((160/100)*ROUND(ROUND((ROUND((Source!AE139*Source!AV139*Source!I139),2)*Source!BS139),2), 2), 2)</f>
        <v>33346.269999999997</v>
      </c>
      <c r="AI158" s="12">
        <v>0</v>
      </c>
    </row>
    <row r="159" spans="1:35">
      <c r="C159" s="27" t="str">
        <f>"Объем: "&amp;Source!I139&amp;"=(1514,4*"&amp;"0,16)/"&amp;"100"</f>
        <v>Объем: 2,42304=(1514,4*0,16)/100</v>
      </c>
    </row>
    <row r="160" spans="1:35" ht="15">
      <c r="A160" s="22"/>
      <c r="B160" s="22"/>
      <c r="C160" s="22" t="s">
        <v>324</v>
      </c>
      <c r="D160" s="23"/>
      <c r="E160" s="24"/>
      <c r="F160" s="25">
        <f>Source!AO139</f>
        <v>624.69000000000005</v>
      </c>
      <c r="G160" s="26" t="str">
        <f>Source!DG139</f>
        <v/>
      </c>
      <c r="H160" s="24">
        <f>Source!AV139</f>
        <v>1.0469999999999999</v>
      </c>
      <c r="I160" s="25">
        <f>ROUND((ROUND((Source!AF139*Source!AV139*Source!I139),2)),2)</f>
        <v>1584.79</v>
      </c>
      <c r="J160" s="24">
        <f>IF(Source!BA139&lt;&gt; 0, Source!BA139, 1)</f>
        <v>46.67</v>
      </c>
      <c r="K160" s="25">
        <f>Source!S139</f>
        <v>73962.149999999994</v>
      </c>
      <c r="W160" s="12">
        <f>I160</f>
        <v>1584.79</v>
      </c>
    </row>
    <row r="161" spans="1:35" ht="15">
      <c r="A161" s="22"/>
      <c r="B161" s="22"/>
      <c r="C161" s="22" t="s">
        <v>325</v>
      </c>
      <c r="D161" s="23"/>
      <c r="E161" s="24"/>
      <c r="F161" s="25">
        <f>Source!AM139</f>
        <v>2355.04</v>
      </c>
      <c r="G161" s="26" t="str">
        <f>Source!DE139</f>
        <v/>
      </c>
      <c r="H161" s="24">
        <f>Source!AV139</f>
        <v>1.0469999999999999</v>
      </c>
      <c r="I161" s="25">
        <f>(ROUND((ROUND(((Source!ET139)*Source!AV139*Source!I139),2)),2)+ROUND((ROUND(((Source!AE139-(Source!EU139))*Source!AV139*Source!I139),2)),2))</f>
        <v>5974.55</v>
      </c>
      <c r="J161" s="24">
        <f>IF(Source!BB139&lt;&gt; 0, Source!BB139, 1)</f>
        <v>12.69</v>
      </c>
      <c r="K161" s="25">
        <f>Source!Q139</f>
        <v>75817.039999999994</v>
      </c>
    </row>
    <row r="162" spans="1:35" ht="15">
      <c r="A162" s="22"/>
      <c r="B162" s="22"/>
      <c r="C162" s="22" t="s">
        <v>326</v>
      </c>
      <c r="D162" s="23"/>
      <c r="E162" s="24"/>
      <c r="F162" s="25">
        <f>Source!AN139</f>
        <v>176.03</v>
      </c>
      <c r="G162" s="26" t="str">
        <f>Source!DF139</f>
        <v/>
      </c>
      <c r="H162" s="24">
        <f>Source!AV139</f>
        <v>1.0469999999999999</v>
      </c>
      <c r="I162" s="28">
        <f>ROUND((ROUND((Source!AE139*Source!AV139*Source!I139),2)),2)</f>
        <v>446.57</v>
      </c>
      <c r="J162" s="24">
        <f>IF(Source!BS139&lt;&gt; 0, Source!BS139, 1)</f>
        <v>46.67</v>
      </c>
      <c r="K162" s="28">
        <f>Source!R139</f>
        <v>20841.419999999998</v>
      </c>
      <c r="W162" s="12">
        <f>I162</f>
        <v>446.57</v>
      </c>
    </row>
    <row r="163" spans="1:35" ht="15">
      <c r="A163" s="22"/>
      <c r="B163" s="22"/>
      <c r="C163" s="22" t="s">
        <v>327</v>
      </c>
      <c r="D163" s="23" t="s">
        <v>328</v>
      </c>
      <c r="E163" s="24">
        <f>Source!DN139</f>
        <v>80</v>
      </c>
      <c r="F163" s="25"/>
      <c r="G163" s="26"/>
      <c r="H163" s="24"/>
      <c r="I163" s="25">
        <f>SUM(Q158:Q162)</f>
        <v>1267.83</v>
      </c>
      <c r="J163" s="24">
        <f>Source!BZ139</f>
        <v>70</v>
      </c>
      <c r="K163" s="25">
        <f>SUM(R158:R162)</f>
        <v>51773.51</v>
      </c>
    </row>
    <row r="164" spans="1:35" ht="15">
      <c r="A164" s="22"/>
      <c r="B164" s="22"/>
      <c r="C164" s="22" t="s">
        <v>329</v>
      </c>
      <c r="D164" s="23" t="s">
        <v>328</v>
      </c>
      <c r="E164" s="24">
        <f>Source!DO139</f>
        <v>55</v>
      </c>
      <c r="F164" s="25"/>
      <c r="G164" s="26"/>
      <c r="H164" s="24"/>
      <c r="I164" s="25">
        <f>SUM(S158:S163)</f>
        <v>871.63</v>
      </c>
      <c r="J164" s="24">
        <f>Source!CA139</f>
        <v>41</v>
      </c>
      <c r="K164" s="25">
        <f>SUM(T158:T163)</f>
        <v>30324.48</v>
      </c>
    </row>
    <row r="165" spans="1:35" ht="15">
      <c r="A165" s="22"/>
      <c r="B165" s="22"/>
      <c r="C165" s="22" t="s">
        <v>330</v>
      </c>
      <c r="D165" s="23" t="s">
        <v>328</v>
      </c>
      <c r="E165" s="24">
        <f>175</f>
        <v>175</v>
      </c>
      <c r="F165" s="25"/>
      <c r="G165" s="26"/>
      <c r="H165" s="24"/>
      <c r="I165" s="25">
        <f>SUM(U158:U164)</f>
        <v>781.5</v>
      </c>
      <c r="J165" s="24">
        <f>160</f>
        <v>160</v>
      </c>
      <c r="K165" s="25">
        <f>SUM(V158:V164)</f>
        <v>33346.269999999997</v>
      </c>
    </row>
    <row r="166" spans="1:35" ht="15">
      <c r="A166" s="30"/>
      <c r="B166" s="30"/>
      <c r="C166" s="30" t="s">
        <v>331</v>
      </c>
      <c r="D166" s="31" t="s">
        <v>332</v>
      </c>
      <c r="E166" s="32">
        <f>Source!AQ139</f>
        <v>49.5</v>
      </c>
      <c r="F166" s="33"/>
      <c r="G166" s="34" t="str">
        <f>Source!DI139</f>
        <v/>
      </c>
      <c r="H166" s="32">
        <f>Source!AV139</f>
        <v>1.0469999999999999</v>
      </c>
      <c r="I166" s="33">
        <f>Source!U139</f>
        <v>125.57768255999999</v>
      </c>
      <c r="J166" s="32"/>
      <c r="K166" s="33"/>
      <c r="AB166" s="35">
        <f>I166</f>
        <v>125.57768255999999</v>
      </c>
    </row>
    <row r="167" spans="1:35" ht="14.25">
      <c r="C167" s="16" t="s">
        <v>333</v>
      </c>
      <c r="H167" s="40">
        <f>I160+I161+I163+I164+I165+0-0-0</f>
        <v>10480.299999999999</v>
      </c>
      <c r="I167" s="40"/>
      <c r="J167" s="40">
        <f>K160+K161+K163+K164+K165+0-0-0</f>
        <v>265223.45</v>
      </c>
      <c r="K167" s="40"/>
    </row>
    <row r="168" spans="1:35" ht="14.25">
      <c r="C168" s="16" t="s">
        <v>334</v>
      </c>
      <c r="H168" s="37">
        <f>0+0</f>
        <v>0</v>
      </c>
      <c r="I168" s="37"/>
      <c r="J168" s="37">
        <f>0+0</f>
        <v>0</v>
      </c>
      <c r="K168" s="37"/>
    </row>
    <row r="169" spans="1:35" ht="14.25">
      <c r="H169" s="37"/>
      <c r="I169" s="37"/>
      <c r="J169" s="37"/>
      <c r="K169" s="37"/>
      <c r="O169" s="35">
        <f>I160+I161+I163+I164+I165+0</f>
        <v>10480.299999999999</v>
      </c>
      <c r="P169" s="35">
        <f>K160+K161+K163+K164+K165+0</f>
        <v>265223.45</v>
      </c>
      <c r="X169" s="12">
        <f>IF(Source!BI139&lt;=1,I160+I161+I163+I164+I165-0, 0)</f>
        <v>10480.299999999999</v>
      </c>
      <c r="Y169" s="12">
        <f>IF(Source!BI139=2,I160+I161+I163+I164+I165-0, 0)</f>
        <v>0</v>
      </c>
      <c r="Z169" s="12">
        <f>IF(Source!BI139=3,I160+I161+I163+I164+I165-0, 0)</f>
        <v>0</v>
      </c>
      <c r="AA169" s="12">
        <f>IF(Source!BI139=4,I160+I161+I163+I164+I165,0)</f>
        <v>0</v>
      </c>
    </row>
    <row r="171" spans="1:35" ht="45">
      <c r="A171" s="22">
        <v>11</v>
      </c>
      <c r="B171" s="22" t="str">
        <f>Source!F141</f>
        <v>6.68-51-2</v>
      </c>
      <c r="C171" s="22" t="s">
        <v>136</v>
      </c>
      <c r="D171" s="23" t="str">
        <f>Source!H141</f>
        <v>100 м3 конструкций</v>
      </c>
      <c r="E171" s="24">
        <f>Source!I141</f>
        <v>2.2715999999999998</v>
      </c>
      <c r="F171" s="25"/>
      <c r="G171" s="26"/>
      <c r="H171" s="24"/>
      <c r="I171" s="25"/>
      <c r="J171" s="24"/>
      <c r="K171" s="25"/>
      <c r="Q171" s="12">
        <f>ROUND((Source!DN141/100)*ROUND((ROUND((Source!AF141*Source!AV141*Source!I141),2)),2), 2)</f>
        <v>209.93</v>
      </c>
      <c r="R171" s="12">
        <f>Source!X141</f>
        <v>8572.67</v>
      </c>
      <c r="S171" s="12">
        <f>ROUND((Source!DO141/100)*ROUND((ROUND((Source!AF141*Source!AV141*Source!I141),2)),2), 2)</f>
        <v>144.33000000000001</v>
      </c>
      <c r="T171" s="12">
        <f>Source!Y141</f>
        <v>5021.13</v>
      </c>
      <c r="U171" s="12">
        <f>ROUND((175/100)*ROUND((ROUND((Source!AE141*Source!AV141*Source!I141),2)),2), 2)</f>
        <v>239.7</v>
      </c>
      <c r="V171" s="12">
        <f>ROUND((160/100)*ROUND(ROUND((ROUND((Source!AE141*Source!AV141*Source!I141),2)*Source!BS141),2), 2), 2)</f>
        <v>10227.82</v>
      </c>
      <c r="AI171" s="12">
        <v>0</v>
      </c>
    </row>
    <row r="172" spans="1:35">
      <c r="C172" s="27" t="str">
        <f>"Объем: "&amp;Source!I141&amp;"=(1514,4*"&amp;"0,15)/"&amp;"100"</f>
        <v>Объем: 2,2716=(1514,4*0,15)/100</v>
      </c>
    </row>
    <row r="173" spans="1:35" ht="15">
      <c r="A173" s="22"/>
      <c r="B173" s="22"/>
      <c r="C173" s="22" t="s">
        <v>324</v>
      </c>
      <c r="D173" s="23"/>
      <c r="E173" s="24"/>
      <c r="F173" s="25">
        <f>Source!AO141</f>
        <v>110.33</v>
      </c>
      <c r="G173" s="26" t="str">
        <f>Source!DG141</f>
        <v/>
      </c>
      <c r="H173" s="24">
        <f>Source!AV141</f>
        <v>1.0469999999999999</v>
      </c>
      <c r="I173" s="25">
        <f>ROUND((ROUND((Source!AF141*Source!AV141*Source!I141),2)),2)</f>
        <v>262.41000000000003</v>
      </c>
      <c r="J173" s="24">
        <f>IF(Source!BA141&lt;&gt; 0, Source!BA141, 1)</f>
        <v>46.67</v>
      </c>
      <c r="K173" s="25">
        <f>Source!S141</f>
        <v>12246.67</v>
      </c>
      <c r="W173" s="12">
        <f>I173</f>
        <v>262.41000000000003</v>
      </c>
    </row>
    <row r="174" spans="1:35" ht="15">
      <c r="A174" s="22"/>
      <c r="B174" s="22"/>
      <c r="C174" s="22" t="s">
        <v>325</v>
      </c>
      <c r="D174" s="23"/>
      <c r="E174" s="24"/>
      <c r="F174" s="25">
        <f>Source!AM141</f>
        <v>567.27</v>
      </c>
      <c r="G174" s="26" t="str">
        <f>Source!DE141</f>
        <v/>
      </c>
      <c r="H174" s="24">
        <f>Source!AV141</f>
        <v>1.0469999999999999</v>
      </c>
      <c r="I174" s="25">
        <f>(ROUND((ROUND(((Source!ET141)*Source!AV141*Source!I141),2)),2)+ROUND((ROUND(((Source!AE141-(Source!EU141))*Source!AV141*Source!I141),2)),2))</f>
        <v>1349.18</v>
      </c>
      <c r="J174" s="24">
        <f>IF(Source!BB141&lt;&gt; 0, Source!BB141, 1)</f>
        <v>13.89</v>
      </c>
      <c r="K174" s="25">
        <f>Source!Q141</f>
        <v>18740.11</v>
      </c>
    </row>
    <row r="175" spans="1:35" ht="15">
      <c r="A175" s="22"/>
      <c r="B175" s="22"/>
      <c r="C175" s="22" t="s">
        <v>326</v>
      </c>
      <c r="D175" s="23"/>
      <c r="E175" s="24"/>
      <c r="F175" s="25">
        <f>Source!AN141</f>
        <v>57.59</v>
      </c>
      <c r="G175" s="26" t="str">
        <f>Source!DF141</f>
        <v/>
      </c>
      <c r="H175" s="24">
        <f>Source!AV141</f>
        <v>1.0469999999999999</v>
      </c>
      <c r="I175" s="28">
        <f>ROUND((ROUND((Source!AE141*Source!AV141*Source!I141),2)),2)</f>
        <v>136.97</v>
      </c>
      <c r="J175" s="24">
        <f>IF(Source!BS141&lt;&gt; 0, Source!BS141, 1)</f>
        <v>46.67</v>
      </c>
      <c r="K175" s="28">
        <f>Source!R141</f>
        <v>6392.39</v>
      </c>
      <c r="W175" s="12">
        <f>I175</f>
        <v>136.97</v>
      </c>
    </row>
    <row r="176" spans="1:35" ht="15">
      <c r="A176" s="22"/>
      <c r="B176" s="22"/>
      <c r="C176" s="22" t="s">
        <v>327</v>
      </c>
      <c r="D176" s="23" t="s">
        <v>328</v>
      </c>
      <c r="E176" s="24">
        <f>Source!DN141</f>
        <v>80</v>
      </c>
      <c r="F176" s="25"/>
      <c r="G176" s="26"/>
      <c r="H176" s="24"/>
      <c r="I176" s="25">
        <f>SUM(Q171:Q175)</f>
        <v>209.93</v>
      </c>
      <c r="J176" s="24">
        <f>Source!BZ141</f>
        <v>70</v>
      </c>
      <c r="K176" s="25">
        <f>SUM(R171:R175)</f>
        <v>8572.67</v>
      </c>
    </row>
    <row r="177" spans="1:35" ht="15">
      <c r="A177" s="22"/>
      <c r="B177" s="22"/>
      <c r="C177" s="22" t="s">
        <v>329</v>
      </c>
      <c r="D177" s="23" t="s">
        <v>328</v>
      </c>
      <c r="E177" s="24">
        <f>Source!DO141</f>
        <v>55</v>
      </c>
      <c r="F177" s="25"/>
      <c r="G177" s="26"/>
      <c r="H177" s="24"/>
      <c r="I177" s="25">
        <f>SUM(S171:S176)</f>
        <v>144.33000000000001</v>
      </c>
      <c r="J177" s="24">
        <f>Source!CA141</f>
        <v>41</v>
      </c>
      <c r="K177" s="25">
        <f>SUM(T171:T176)</f>
        <v>5021.13</v>
      </c>
    </row>
    <row r="178" spans="1:35" ht="15">
      <c r="A178" s="22"/>
      <c r="B178" s="22"/>
      <c r="C178" s="22" t="s">
        <v>330</v>
      </c>
      <c r="D178" s="23" t="s">
        <v>328</v>
      </c>
      <c r="E178" s="24">
        <f>175</f>
        <v>175</v>
      </c>
      <c r="F178" s="25"/>
      <c r="G178" s="26"/>
      <c r="H178" s="24"/>
      <c r="I178" s="25">
        <f>SUM(U171:U177)</f>
        <v>239.7</v>
      </c>
      <c r="J178" s="24">
        <f>160</f>
        <v>160</v>
      </c>
      <c r="K178" s="25">
        <f>SUM(V171:V177)</f>
        <v>10227.82</v>
      </c>
    </row>
    <row r="179" spans="1:35" ht="15">
      <c r="A179" s="30"/>
      <c r="B179" s="30"/>
      <c r="C179" s="30" t="s">
        <v>331</v>
      </c>
      <c r="D179" s="31" t="s">
        <v>332</v>
      </c>
      <c r="E179" s="32">
        <f>Source!AQ141</f>
        <v>11.7</v>
      </c>
      <c r="F179" s="33"/>
      <c r="G179" s="34" t="str">
        <f>Source!DI141</f>
        <v/>
      </c>
      <c r="H179" s="32">
        <f>Source!AV141</f>
        <v>1.0469999999999999</v>
      </c>
      <c r="I179" s="33">
        <f>Source!U141</f>
        <v>27.826872839999993</v>
      </c>
      <c r="J179" s="32"/>
      <c r="K179" s="33"/>
      <c r="AB179" s="35">
        <f>I179</f>
        <v>27.826872839999993</v>
      </c>
    </row>
    <row r="180" spans="1:35" ht="14.25">
      <c r="C180" s="16" t="s">
        <v>333</v>
      </c>
      <c r="H180" s="40">
        <f>I173+I174+I176+I177+I178+0-0-0</f>
        <v>2205.5500000000002</v>
      </c>
      <c r="I180" s="40"/>
      <c r="J180" s="40">
        <f>K173+K174+K176+K177+K178+0-0-0</f>
        <v>54808.399999999994</v>
      </c>
      <c r="K180" s="40"/>
    </row>
    <row r="181" spans="1:35" ht="14.25">
      <c r="C181" s="16" t="s">
        <v>334</v>
      </c>
      <c r="H181" s="37">
        <f>0+0</f>
        <v>0</v>
      </c>
      <c r="I181" s="37"/>
      <c r="J181" s="37">
        <f>0+0</f>
        <v>0</v>
      </c>
      <c r="K181" s="37"/>
    </row>
    <row r="182" spans="1:35" ht="14.25">
      <c r="H182" s="37"/>
      <c r="I182" s="37"/>
      <c r="J182" s="37"/>
      <c r="K182" s="37"/>
      <c r="O182" s="35">
        <f>I173+I174+I176+I177+I178+0</f>
        <v>2205.5500000000002</v>
      </c>
      <c r="P182" s="35">
        <f>K173+K174+K176+K177+K178+0</f>
        <v>54808.399999999994</v>
      </c>
      <c r="X182" s="12">
        <f>IF(Source!BI141&lt;=1,I173+I174+I176+I177+I178-0, 0)</f>
        <v>2205.5500000000002</v>
      </c>
      <c r="Y182" s="12">
        <f>IF(Source!BI141=2,I173+I174+I176+I177+I178-0, 0)</f>
        <v>0</v>
      </c>
      <c r="Z182" s="12">
        <f>IF(Source!BI141=3,I173+I174+I176+I177+I178-0, 0)</f>
        <v>0</v>
      </c>
      <c r="AA182" s="12">
        <f>IF(Source!BI141=4,I173+I174+I176+I177+I178,0)</f>
        <v>0</v>
      </c>
    </row>
    <row r="184" spans="1:35" ht="30">
      <c r="A184" s="22">
        <v>12</v>
      </c>
      <c r="B184" s="22" t="str">
        <f>Source!F143</f>
        <v>6.68-13-1</v>
      </c>
      <c r="C184" s="22" t="s">
        <v>140</v>
      </c>
      <c r="D184" s="23" t="str">
        <f>Source!H143</f>
        <v>1 Т</v>
      </c>
      <c r="E184" s="24">
        <f>Source!I143</f>
        <v>1390.2192</v>
      </c>
      <c r="F184" s="25"/>
      <c r="G184" s="26"/>
      <c r="H184" s="24"/>
      <c r="I184" s="25"/>
      <c r="J184" s="24"/>
      <c r="K184" s="25"/>
      <c r="Q184" s="12">
        <f>ROUND((Source!DN143/100)*ROUND((ROUND((Source!AF143*Source!AV143*Source!I143),2)),2), 2)</f>
        <v>0</v>
      </c>
      <c r="R184" s="12">
        <f>Source!X143</f>
        <v>0</v>
      </c>
      <c r="S184" s="12">
        <f>ROUND((Source!DO143/100)*ROUND((ROUND((Source!AF143*Source!AV143*Source!I143),2)),2), 2)</f>
        <v>0</v>
      </c>
      <c r="T184" s="12">
        <f>Source!Y143</f>
        <v>0</v>
      </c>
      <c r="U184" s="12">
        <f>ROUND((175/100)*ROUND((ROUND((Source!AE143*Source!AV143*Source!I143),2)),2), 2)</f>
        <v>3769.9</v>
      </c>
      <c r="V184" s="12">
        <f>ROUND((160/100)*ROUND(ROUND((ROUND((Source!AE143*Source!AV143*Source!I143),2)*Source!BS143),2), 2), 2)</f>
        <v>160860.66</v>
      </c>
      <c r="AI184" s="12">
        <v>0</v>
      </c>
    </row>
    <row r="185" spans="1:35" ht="38.25">
      <c r="C185" s="27" t="str">
        <f>"Объем: "&amp;Source!I143&amp;"=(((0,05+"&amp;"0,06+"&amp;"0,16)*"&amp;"1514,4)*"&amp;"2,4+"&amp;"1514,4*"&amp;"0,15*"&amp;"1,8)"</f>
        <v>Объем: 1390,2192=(((0,05+0,06+0,16)*1514,4)*2,4+1514,4*0,15*1,8)</v>
      </c>
    </row>
    <row r="186" spans="1:35" ht="15">
      <c r="A186" s="22"/>
      <c r="B186" s="22"/>
      <c r="C186" s="22" t="s">
        <v>325</v>
      </c>
      <c r="D186" s="23"/>
      <c r="E186" s="24"/>
      <c r="F186" s="25">
        <f>Source!AM143</f>
        <v>8.86</v>
      </c>
      <c r="G186" s="26" t="str">
        <f>Source!DE143</f>
        <v/>
      </c>
      <c r="H186" s="24">
        <f>Source!AV143</f>
        <v>1.0469999999999999</v>
      </c>
      <c r="I186" s="25">
        <f>(ROUND((ROUND(((Source!ET143)*Source!AV143*Source!I143),2)),2)+ROUND((ROUND(((Source!AE143-(Source!EU143))*Source!AV143*Source!I143),2)),2))</f>
        <v>12896.26</v>
      </c>
      <c r="J186" s="24">
        <f>IF(Source!BB143&lt;&gt; 0, Source!BB143, 1)</f>
        <v>16.14</v>
      </c>
      <c r="K186" s="25">
        <f>Source!Q143</f>
        <v>208145.64</v>
      </c>
    </row>
    <row r="187" spans="1:35" ht="15">
      <c r="A187" s="22"/>
      <c r="B187" s="22"/>
      <c r="C187" s="22" t="s">
        <v>326</v>
      </c>
      <c r="D187" s="23"/>
      <c r="E187" s="24"/>
      <c r="F187" s="25">
        <f>Source!AN143</f>
        <v>1.48</v>
      </c>
      <c r="G187" s="26" t="str">
        <f>Source!DF143</f>
        <v/>
      </c>
      <c r="H187" s="24">
        <f>Source!AV143</f>
        <v>1.0469999999999999</v>
      </c>
      <c r="I187" s="28">
        <f>ROUND((ROUND((Source!AE143*Source!AV143*Source!I143),2)),2)</f>
        <v>2154.23</v>
      </c>
      <c r="J187" s="24">
        <f>IF(Source!BS143&lt;&gt; 0, Source!BS143, 1)</f>
        <v>46.67</v>
      </c>
      <c r="K187" s="28">
        <f>Source!R143</f>
        <v>100537.91</v>
      </c>
      <c r="W187" s="12">
        <f>I187</f>
        <v>2154.23</v>
      </c>
    </row>
    <row r="188" spans="1:35" ht="15">
      <c r="A188" s="30"/>
      <c r="B188" s="30"/>
      <c r="C188" s="30" t="s">
        <v>330</v>
      </c>
      <c r="D188" s="31" t="s">
        <v>328</v>
      </c>
      <c r="E188" s="32">
        <f>175</f>
        <v>175</v>
      </c>
      <c r="F188" s="33"/>
      <c r="G188" s="34"/>
      <c r="H188" s="32"/>
      <c r="I188" s="33">
        <f>SUM(U184:U187)</f>
        <v>3769.9</v>
      </c>
      <c r="J188" s="32">
        <f>160</f>
        <v>160</v>
      </c>
      <c r="K188" s="33">
        <f>SUM(V184:V187)</f>
        <v>160860.66</v>
      </c>
    </row>
    <row r="189" spans="1:35" ht="14.25">
      <c r="C189" s="16" t="s">
        <v>333</v>
      </c>
      <c r="H189" s="40">
        <f>I186+I188+0-0-0</f>
        <v>16666.16</v>
      </c>
      <c r="I189" s="40"/>
      <c r="J189" s="40">
        <f>K186+K188+0-0-0</f>
        <v>369006.30000000005</v>
      </c>
      <c r="K189" s="40"/>
    </row>
    <row r="190" spans="1:35" ht="14.25">
      <c r="C190" s="16" t="s">
        <v>334</v>
      </c>
      <c r="H190" s="37">
        <f>0+0</f>
        <v>0</v>
      </c>
      <c r="I190" s="37"/>
      <c r="J190" s="37">
        <f>0+0</f>
        <v>0</v>
      </c>
      <c r="K190" s="37"/>
    </row>
    <row r="191" spans="1:35" ht="14.25">
      <c r="H191" s="37"/>
      <c r="I191" s="37"/>
      <c r="J191" s="37"/>
      <c r="K191" s="37"/>
      <c r="O191" s="35">
        <f>I186+I188+0</f>
        <v>16666.16</v>
      </c>
      <c r="P191" s="35">
        <f>K186+K188+0</f>
        <v>369006.30000000005</v>
      </c>
      <c r="X191" s="12">
        <f>IF(Source!BI143&lt;=1,I186+I188-0, 0)</f>
        <v>16666.16</v>
      </c>
      <c r="Y191" s="12">
        <f>IF(Source!BI143=2,I186+I188-0, 0)</f>
        <v>0</v>
      </c>
      <c r="Z191" s="12">
        <f>IF(Source!BI143=3,I186+I188-0, 0)</f>
        <v>0</v>
      </c>
      <c r="AA191" s="12">
        <f>IF(Source!BI143=4,I186+I188,0)</f>
        <v>0</v>
      </c>
    </row>
    <row r="194" spans="1:35" ht="14.25">
      <c r="B194" s="41" t="str">
        <f>Source!G144</f>
        <v>Восстановление а/б покрытия ппроезжей части</v>
      </c>
      <c r="C194" s="41"/>
      <c r="D194" s="41"/>
      <c r="E194" s="41"/>
      <c r="F194" s="41"/>
      <c r="G194" s="41"/>
      <c r="H194" s="41"/>
      <c r="I194" s="41"/>
      <c r="J194" s="41"/>
    </row>
    <row r="195" spans="1:35" ht="45">
      <c r="A195" s="22">
        <v>13</v>
      </c>
      <c r="B195" s="22" t="str">
        <f>Source!F146</f>
        <v>3.27-69-1</v>
      </c>
      <c r="C195" s="22" t="s">
        <v>148</v>
      </c>
      <c r="D195" s="23" t="str">
        <f>Source!H146</f>
        <v>1000 м2 поверхности</v>
      </c>
      <c r="E195" s="24">
        <f>Source!I146</f>
        <v>1.5144</v>
      </c>
      <c r="F195" s="25"/>
      <c r="G195" s="26"/>
      <c r="H195" s="24"/>
      <c r="I195" s="25"/>
      <c r="J195" s="24"/>
      <c r="K195" s="25"/>
      <c r="Q195" s="12">
        <f>ROUND((Source!DN146/100)*ROUND((ROUND((Source!AF146*Source!AV146*Source!I146),2)),2), 2)</f>
        <v>728.33</v>
      </c>
      <c r="R195" s="12">
        <f>Source!X146</f>
        <v>28290.84</v>
      </c>
      <c r="S195" s="12">
        <f>ROUND((Source!DO146/100)*ROUND((ROUND((Source!AF146*Source!AV146*Source!I146),2)),2), 2)</f>
        <v>484.05</v>
      </c>
      <c r="T195" s="12">
        <f>Source!Y146</f>
        <v>11611.91</v>
      </c>
      <c r="U195" s="12">
        <f>ROUND((175/100)*ROUND((ROUND((Source!AE146*Source!AV146*Source!I146),2)),2), 2)</f>
        <v>166.29</v>
      </c>
      <c r="V195" s="12">
        <f>ROUND((160/100)*ROUND(ROUND((ROUND((Source!AE146*Source!AV146*Source!I146),2)*Source!BS146),2), 2), 2)</f>
        <v>7095.33</v>
      </c>
      <c r="AI195" s="12">
        <v>0</v>
      </c>
    </row>
    <row r="196" spans="1:35">
      <c r="C196" s="27" t="str">
        <f>"Объем: "&amp;Source!I146&amp;"=(1514,4)/"&amp;"1000"</f>
        <v>Объем: 1,5144=(1514,4)/1000</v>
      </c>
    </row>
    <row r="197" spans="1:35" ht="15">
      <c r="A197" s="22"/>
      <c r="B197" s="22"/>
      <c r="C197" s="22" t="s">
        <v>324</v>
      </c>
      <c r="D197" s="23"/>
      <c r="E197" s="24"/>
      <c r="F197" s="25">
        <f>Source!AO146</f>
        <v>285.31</v>
      </c>
      <c r="G197" s="26" t="str">
        <f>Source!DG146</f>
        <v/>
      </c>
      <c r="H197" s="24">
        <f>Source!AV146</f>
        <v>1.0469999999999999</v>
      </c>
      <c r="I197" s="25">
        <f>ROUND((ROUND((Source!AF146*Source!AV146*Source!I146),2)),2)</f>
        <v>452.38</v>
      </c>
      <c r="J197" s="24">
        <f>IF(Source!BA146&lt;&gt; 0, Source!BA146, 1)</f>
        <v>46.67</v>
      </c>
      <c r="K197" s="25">
        <f>Source!S146</f>
        <v>21112.57</v>
      </c>
      <c r="W197" s="12">
        <f>I197</f>
        <v>452.38</v>
      </c>
    </row>
    <row r="198" spans="1:35" ht="15">
      <c r="A198" s="22"/>
      <c r="B198" s="22"/>
      <c r="C198" s="22" t="s">
        <v>325</v>
      </c>
      <c r="D198" s="23"/>
      <c r="E198" s="24"/>
      <c r="F198" s="25">
        <f>Source!AM146</f>
        <v>665.38</v>
      </c>
      <c r="G198" s="26" t="str">
        <f>Source!DE146</f>
        <v/>
      </c>
      <c r="H198" s="24">
        <f>Source!AV146</f>
        <v>1.0469999999999999</v>
      </c>
      <c r="I198" s="25">
        <f>(ROUND((ROUND(((Source!ET146)*Source!AV146*Source!I146),2)),2)+ROUND((ROUND(((Source!AE146-(Source!EU146))*Source!AV146*Source!I146),2)),2))</f>
        <v>1055.01</v>
      </c>
      <c r="J198" s="24">
        <f>IF(Source!BB146&lt;&gt; 0, Source!BB146, 1)</f>
        <v>13.51</v>
      </c>
      <c r="K198" s="25">
        <f>Source!Q146</f>
        <v>14253.19</v>
      </c>
    </row>
    <row r="199" spans="1:35" ht="15">
      <c r="A199" s="22"/>
      <c r="B199" s="22"/>
      <c r="C199" s="22" t="s">
        <v>326</v>
      </c>
      <c r="D199" s="23"/>
      <c r="E199" s="24"/>
      <c r="F199" s="25">
        <f>Source!AN146</f>
        <v>59.93</v>
      </c>
      <c r="G199" s="26" t="str">
        <f>Source!DF146</f>
        <v/>
      </c>
      <c r="H199" s="24">
        <f>Source!AV146</f>
        <v>1.0469999999999999</v>
      </c>
      <c r="I199" s="28">
        <f>ROUND((ROUND((Source!AE146*Source!AV146*Source!I146),2)),2)</f>
        <v>95.02</v>
      </c>
      <c r="J199" s="24">
        <f>IF(Source!BS146&lt;&gt; 0, Source!BS146, 1)</f>
        <v>46.67</v>
      </c>
      <c r="K199" s="28">
        <f>Source!R146</f>
        <v>4434.58</v>
      </c>
      <c r="W199" s="12">
        <f>I199</f>
        <v>95.02</v>
      </c>
    </row>
    <row r="200" spans="1:35" ht="15">
      <c r="A200" s="22"/>
      <c r="B200" s="22"/>
      <c r="C200" s="22" t="s">
        <v>335</v>
      </c>
      <c r="D200" s="23"/>
      <c r="E200" s="24"/>
      <c r="F200" s="25">
        <f>Source!AL146</f>
        <v>0.89</v>
      </c>
      <c r="G200" s="26" t="str">
        <f>Source!DD146</f>
        <v/>
      </c>
      <c r="H200" s="24">
        <f>Source!AW146</f>
        <v>1.002</v>
      </c>
      <c r="I200" s="25">
        <f>ROUND((ROUND((Source!AC146*Source!AW146*Source!I146),2)),2)</f>
        <v>1.35</v>
      </c>
      <c r="J200" s="24">
        <f>IF(Source!BC146&lt;&gt; 0, Source!BC146, 1)</f>
        <v>8</v>
      </c>
      <c r="K200" s="25">
        <f>Source!P146</f>
        <v>10.8</v>
      </c>
    </row>
    <row r="201" spans="1:35" ht="30">
      <c r="A201" s="22" t="s">
        <v>153</v>
      </c>
      <c r="B201" s="22" t="str">
        <f>Source!F148</f>
        <v>1.1-1-1605</v>
      </c>
      <c r="C201" s="22" t="s">
        <v>155</v>
      </c>
      <c r="D201" s="23" t="str">
        <f>Source!H148</f>
        <v>м2</v>
      </c>
      <c r="E201" s="24">
        <f>Source!I148</f>
        <v>1514.4</v>
      </c>
      <c r="F201" s="25">
        <f>Source!AK148</f>
        <v>13.87</v>
      </c>
      <c r="G201" s="29" t="s">
        <v>6</v>
      </c>
      <c r="H201" s="24">
        <f>Source!AW148</f>
        <v>1.002</v>
      </c>
      <c r="I201" s="25">
        <f>ROUND((ROUND((Source!AC148*Source!AW148*Source!I148),2)),2)+(ROUND((ROUND(((Source!ET148)*Source!AV148*Source!I148),2)),2)+ROUND((ROUND(((Source!AE148-(Source!EU148))*Source!AV148*Source!I148),2)),2))+ROUND((ROUND((Source!AF148*Source!AV148*Source!I148),2)),2)</f>
        <v>21046.74</v>
      </c>
      <c r="J201" s="24">
        <f>IF(Source!BC148&lt;&gt; 0, Source!BC148, 1)</f>
        <v>3.76</v>
      </c>
      <c r="K201" s="25">
        <f>Source!O148</f>
        <v>79135.740000000005</v>
      </c>
      <c r="Q201" s="12">
        <f>ROUND((Source!DN148/100)*ROUND((ROUND((Source!AF148*Source!AV148*Source!I148),2)),2), 2)</f>
        <v>0</v>
      </c>
      <c r="R201" s="12">
        <f>Source!X148</f>
        <v>0</v>
      </c>
      <c r="S201" s="12">
        <f>ROUND((Source!DO148/100)*ROUND((ROUND((Source!AF148*Source!AV148*Source!I148),2)),2), 2)</f>
        <v>0</v>
      </c>
      <c r="T201" s="12">
        <f>Source!Y148</f>
        <v>0</v>
      </c>
      <c r="U201" s="12">
        <f>ROUND((175/100)*ROUND((ROUND((Source!AE148*Source!AV148*Source!I148),2)),2), 2)</f>
        <v>0</v>
      </c>
      <c r="V201" s="12">
        <f>ROUND((160/100)*ROUND(ROUND((ROUND((Source!AE148*Source!AV148*Source!I148),2)*Source!BS148),2), 2), 2)</f>
        <v>0</v>
      </c>
      <c r="X201" s="12">
        <f>IF(Source!BI148&lt;=1,I201, 0)</f>
        <v>21046.74</v>
      </c>
      <c r="Y201" s="12">
        <f>IF(Source!BI148=2,I201, 0)</f>
        <v>0</v>
      </c>
      <c r="Z201" s="12">
        <f>IF(Source!BI148=3,I201, 0)</f>
        <v>0</v>
      </c>
      <c r="AA201" s="12">
        <f>IF(Source!BI148=4,I201, 0)</f>
        <v>0</v>
      </c>
      <c r="AI201" s="12">
        <v>3</v>
      </c>
    </row>
    <row r="202" spans="1:35" ht="15">
      <c r="A202" s="22"/>
      <c r="B202" s="22"/>
      <c r="C202" s="22" t="s">
        <v>327</v>
      </c>
      <c r="D202" s="23" t="s">
        <v>328</v>
      </c>
      <c r="E202" s="24">
        <f>Source!DN146</f>
        <v>161</v>
      </c>
      <c r="F202" s="25"/>
      <c r="G202" s="26"/>
      <c r="H202" s="24"/>
      <c r="I202" s="25">
        <f>SUM(Q195:Q201)</f>
        <v>728.33</v>
      </c>
      <c r="J202" s="24">
        <f>Source!BZ146</f>
        <v>134</v>
      </c>
      <c r="K202" s="25">
        <f>SUM(R195:R201)</f>
        <v>28290.84</v>
      </c>
    </row>
    <row r="203" spans="1:35" ht="15">
      <c r="A203" s="22"/>
      <c r="B203" s="22"/>
      <c r="C203" s="22" t="s">
        <v>329</v>
      </c>
      <c r="D203" s="23" t="s">
        <v>328</v>
      </c>
      <c r="E203" s="24">
        <f>Source!DO146</f>
        <v>107</v>
      </c>
      <c r="F203" s="25"/>
      <c r="G203" s="26"/>
      <c r="H203" s="24"/>
      <c r="I203" s="25">
        <f>SUM(S195:S202)</f>
        <v>484.05</v>
      </c>
      <c r="J203" s="24">
        <f>Source!CA146</f>
        <v>55</v>
      </c>
      <c r="K203" s="25">
        <f>SUM(T195:T202)</f>
        <v>11611.91</v>
      </c>
    </row>
    <row r="204" spans="1:35" ht="15">
      <c r="A204" s="22"/>
      <c r="B204" s="22"/>
      <c r="C204" s="22" t="s">
        <v>330</v>
      </c>
      <c r="D204" s="23" t="s">
        <v>328</v>
      </c>
      <c r="E204" s="24">
        <f>175</f>
        <v>175</v>
      </c>
      <c r="F204" s="25"/>
      <c r="G204" s="26"/>
      <c r="H204" s="24"/>
      <c r="I204" s="25">
        <f>SUM(U195:U203)</f>
        <v>166.29</v>
      </c>
      <c r="J204" s="24">
        <f>160</f>
        <v>160</v>
      </c>
      <c r="K204" s="25">
        <f>SUM(V195:V203)</f>
        <v>7095.33</v>
      </c>
    </row>
    <row r="205" spans="1:35" ht="15">
      <c r="A205" s="30"/>
      <c r="B205" s="30"/>
      <c r="C205" s="30" t="s">
        <v>331</v>
      </c>
      <c r="D205" s="31" t="s">
        <v>332</v>
      </c>
      <c r="E205" s="32">
        <f>Source!AQ146</f>
        <v>27.7</v>
      </c>
      <c r="F205" s="33"/>
      <c r="G205" s="34" t="str">
        <f>Source!DI146</f>
        <v/>
      </c>
      <c r="H205" s="32">
        <f>Source!AV146</f>
        <v>1.0469999999999999</v>
      </c>
      <c r="I205" s="33">
        <f>Source!U146</f>
        <v>43.920477359999992</v>
      </c>
      <c r="J205" s="32"/>
      <c r="K205" s="33"/>
      <c r="AB205" s="35">
        <f>I205</f>
        <v>43.920477359999992</v>
      </c>
    </row>
    <row r="206" spans="1:35" ht="14.25">
      <c r="C206" s="16" t="s">
        <v>333</v>
      </c>
      <c r="H206" s="40">
        <f>I197+I198+I200+I202+I203+I204+SUM(I201:I201)-SUMIF(AI201:AI201, 5, I201:I201)-SUMIF(AI201:AI201, 6, I201:I201)</f>
        <v>23934.15</v>
      </c>
      <c r="I206" s="40"/>
      <c r="J206" s="40">
        <f>K197+K198+K200+K202+K203+K204+SUM(K201:K201)-SUMIF(AI201:AI201, 5, K201:K201)-SUMIF(AI201:AI201, 6, K201:K201)</f>
        <v>161510.38</v>
      </c>
      <c r="K206" s="40"/>
    </row>
    <row r="207" spans="1:35" ht="14.25">
      <c r="C207" s="16" t="s">
        <v>334</v>
      </c>
      <c r="H207" s="37">
        <f>SUMIF(AI201:AI201, 5, I201:I201)+SUMIF(AI201:AI201, 6, I201:I201)</f>
        <v>0</v>
      </c>
      <c r="I207" s="37"/>
      <c r="J207" s="37">
        <f>SUMIF(AI201:AI201, 5, K201:K201)+SUMIF(AI201:AI201, 6, K201:K201)</f>
        <v>0</v>
      </c>
      <c r="K207" s="37"/>
    </row>
    <row r="208" spans="1:35" ht="14.25">
      <c r="H208" s="37"/>
      <c r="I208" s="37"/>
      <c r="J208" s="37"/>
      <c r="K208" s="37"/>
      <c r="O208" s="35">
        <f>I197+I198+I200+I202+I203+I204+SUM(I201:I201)</f>
        <v>23934.15</v>
      </c>
      <c r="P208" s="35">
        <f>K197+K198+K200+K202+K203+K204+SUM(K201:K201)</f>
        <v>161510.38</v>
      </c>
      <c r="X208" s="12">
        <f>IF(Source!BI146&lt;=1,I197+I198+I200+I202+I203+I204-0, 0)</f>
        <v>2887.41</v>
      </c>
      <c r="Y208" s="12">
        <f>IF(Source!BI146=2,I197+I198+I200+I202+I203+I204-0, 0)</f>
        <v>0</v>
      </c>
      <c r="Z208" s="12">
        <f>IF(Source!BI146=3,I197+I198+I200+I202+I203+I204-0, 0)</f>
        <v>0</v>
      </c>
      <c r="AA208" s="12">
        <f>IF(Source!BI146=4,I197+I198+I200+I202+I203+I204,0)</f>
        <v>0</v>
      </c>
    </row>
    <row r="210" spans="1:35" ht="105">
      <c r="A210" s="22">
        <v>14</v>
      </c>
      <c r="B210" s="22" t="str">
        <f>Source!F152</f>
        <v>3.27-12-1</v>
      </c>
      <c r="C210" s="22" t="s">
        <v>164</v>
      </c>
      <c r="D210" s="23" t="str">
        <f>Source!H152</f>
        <v>100 м3 материала основания (в плотном теле)</v>
      </c>
      <c r="E210" s="24">
        <f>Source!I152</f>
        <v>4.5431999999999997</v>
      </c>
      <c r="F210" s="25"/>
      <c r="G210" s="26"/>
      <c r="H210" s="24"/>
      <c r="I210" s="25"/>
      <c r="J210" s="24"/>
      <c r="K210" s="25"/>
      <c r="Q210" s="12">
        <f>ROUND((Source!DN152/100)*ROUND((ROUND((Source!AF152*Source!AV152*Source!I152),2)),2), 2)</f>
        <v>1160.17</v>
      </c>
      <c r="R210" s="12">
        <f>Source!X152</f>
        <v>45064.74</v>
      </c>
      <c r="S210" s="12">
        <f>ROUND((Source!DO152/100)*ROUND((ROUND((Source!AF152*Source!AV152*Source!I152),2)),2), 2)</f>
        <v>771.04</v>
      </c>
      <c r="T210" s="12">
        <f>Source!Y152</f>
        <v>18496.72</v>
      </c>
      <c r="U210" s="12">
        <f>ROUND((175/100)*ROUND((ROUND((Source!AE152*Source!AV152*Source!I152),2)),2), 2)</f>
        <v>790.14</v>
      </c>
      <c r="V210" s="12">
        <f>ROUND((160/100)*ROUND(ROUND((ROUND((Source!AE152*Source!AV152*Source!I152),2)*Source!BS152),2), 2), 2)</f>
        <v>33715.15</v>
      </c>
      <c r="AI210" s="12">
        <v>0</v>
      </c>
    </row>
    <row r="211" spans="1:35">
      <c r="C211" s="27" t="str">
        <f>"Объем: "&amp;Source!I152&amp;"=(1514,4*"&amp;"0,3)/"&amp;"100"</f>
        <v>Объем: 4,5432=(1514,4*0,3)/100</v>
      </c>
    </row>
    <row r="212" spans="1:35" ht="15">
      <c r="A212" s="22"/>
      <c r="B212" s="22"/>
      <c r="C212" s="22" t="s">
        <v>324</v>
      </c>
      <c r="D212" s="23"/>
      <c r="E212" s="24"/>
      <c r="F212" s="25">
        <f>Source!AO152</f>
        <v>151.49</v>
      </c>
      <c r="G212" s="26" t="str">
        <f>Source!DG152</f>
        <v/>
      </c>
      <c r="H212" s="24">
        <f>Source!AV152</f>
        <v>1.0469999999999999</v>
      </c>
      <c r="I212" s="25">
        <f>ROUND((ROUND((Source!AF152*Source!AV152*Source!I152),2)),2)</f>
        <v>720.6</v>
      </c>
      <c r="J212" s="24">
        <f>IF(Source!BA152&lt;&gt; 0, Source!BA152, 1)</f>
        <v>46.67</v>
      </c>
      <c r="K212" s="25">
        <f>Source!S152</f>
        <v>33630.400000000001</v>
      </c>
      <c r="W212" s="12">
        <f>I212</f>
        <v>720.6</v>
      </c>
    </row>
    <row r="213" spans="1:35" ht="15">
      <c r="A213" s="22"/>
      <c r="B213" s="22"/>
      <c r="C213" s="22" t="s">
        <v>325</v>
      </c>
      <c r="D213" s="23"/>
      <c r="E213" s="24"/>
      <c r="F213" s="25">
        <f>Source!AM152</f>
        <v>1192.07</v>
      </c>
      <c r="G213" s="26" t="str">
        <f>Source!DE152</f>
        <v/>
      </c>
      <c r="H213" s="24">
        <f>Source!AV152</f>
        <v>1.0469999999999999</v>
      </c>
      <c r="I213" s="25">
        <f>(ROUND((ROUND(((Source!ET152)*Source!AV152*Source!I152),2)),2)+ROUND((ROUND(((Source!AE152-(Source!EU152))*Source!AV152*Source!I152),2)),2))</f>
        <v>5670.36</v>
      </c>
      <c r="J213" s="24">
        <f>IF(Source!BB152&lt;&gt; 0, Source!BB152, 1)</f>
        <v>13.09</v>
      </c>
      <c r="K213" s="25">
        <f>Source!Q152</f>
        <v>74225.009999999995</v>
      </c>
    </row>
    <row r="214" spans="1:35" ht="15">
      <c r="A214" s="22"/>
      <c r="B214" s="22"/>
      <c r="C214" s="22" t="s">
        <v>326</v>
      </c>
      <c r="D214" s="23"/>
      <c r="E214" s="24"/>
      <c r="F214" s="25">
        <f>Source!AN152</f>
        <v>94.92</v>
      </c>
      <c r="G214" s="26" t="str">
        <f>Source!DF152</f>
        <v/>
      </c>
      <c r="H214" s="24">
        <f>Source!AV152</f>
        <v>1.0469999999999999</v>
      </c>
      <c r="I214" s="28">
        <f>ROUND((ROUND((Source!AE152*Source!AV152*Source!I152),2)),2)</f>
        <v>451.51</v>
      </c>
      <c r="J214" s="24">
        <f>IF(Source!BS152&lt;&gt; 0, Source!BS152, 1)</f>
        <v>46.67</v>
      </c>
      <c r="K214" s="28">
        <f>Source!R152</f>
        <v>21071.97</v>
      </c>
      <c r="W214" s="12">
        <f>I214</f>
        <v>451.51</v>
      </c>
    </row>
    <row r="215" spans="1:35" ht="15">
      <c r="A215" s="22"/>
      <c r="B215" s="22"/>
      <c r="C215" s="22" t="s">
        <v>335</v>
      </c>
      <c r="D215" s="23"/>
      <c r="E215" s="24"/>
      <c r="F215" s="25">
        <f>Source!AL152</f>
        <v>35.35</v>
      </c>
      <c r="G215" s="26" t="str">
        <f>Source!DD152</f>
        <v/>
      </c>
      <c r="H215" s="24">
        <f>Source!AW152</f>
        <v>1.002</v>
      </c>
      <c r="I215" s="25">
        <f>ROUND((ROUND((Source!AC152*Source!AW152*Source!I152),2)),2)</f>
        <v>160.91999999999999</v>
      </c>
      <c r="J215" s="24">
        <f>IF(Source!BC152&lt;&gt; 0, Source!BC152, 1)</f>
        <v>7.05</v>
      </c>
      <c r="K215" s="25">
        <f>Source!P152</f>
        <v>1134.49</v>
      </c>
    </row>
    <row r="216" spans="1:35" ht="30">
      <c r="A216" s="22" t="s">
        <v>169</v>
      </c>
      <c r="B216" s="22" t="str">
        <f>Source!F154</f>
        <v>1.1-1-766</v>
      </c>
      <c r="C216" s="22" t="s">
        <v>171</v>
      </c>
      <c r="D216" s="23" t="str">
        <f>Source!H154</f>
        <v>м3</v>
      </c>
      <c r="E216" s="24">
        <f>Source!I154</f>
        <v>499.75200000000001</v>
      </c>
      <c r="F216" s="25">
        <f>Source!AK154</f>
        <v>104.99</v>
      </c>
      <c r="G216" s="29" t="s">
        <v>6</v>
      </c>
      <c r="H216" s="24">
        <f>Source!AW154</f>
        <v>1.002</v>
      </c>
      <c r="I216" s="25">
        <f>ROUND((ROUND((Source!AC154*Source!AW154*Source!I154),2)),2)+(ROUND((ROUND(((Source!ET154)*Source!AV154*Source!I154),2)),2)+ROUND((ROUND(((Source!AE154-(Source!EU154))*Source!AV154*Source!I154),2)),2))+ROUND((ROUND((Source!AF154*Source!AV154*Source!I154),2)),2)</f>
        <v>52573.9</v>
      </c>
      <c r="J216" s="24">
        <f>IF(Source!BC154&lt;&gt; 0, Source!BC154, 1)</f>
        <v>8.56</v>
      </c>
      <c r="K216" s="25">
        <f>Source!O154</f>
        <v>450032.58</v>
      </c>
      <c r="Q216" s="12">
        <f>ROUND((Source!DN154/100)*ROUND((ROUND((Source!AF154*Source!AV154*Source!I154),2)),2), 2)</f>
        <v>0</v>
      </c>
      <c r="R216" s="12">
        <f>Source!X154</f>
        <v>0</v>
      </c>
      <c r="S216" s="12">
        <f>ROUND((Source!DO154/100)*ROUND((ROUND((Source!AF154*Source!AV154*Source!I154),2)),2), 2)</f>
        <v>0</v>
      </c>
      <c r="T216" s="12">
        <f>Source!Y154</f>
        <v>0</v>
      </c>
      <c r="U216" s="12">
        <f>ROUND((175/100)*ROUND((ROUND((Source!AE154*Source!AV154*Source!I154),2)),2), 2)</f>
        <v>0</v>
      </c>
      <c r="V216" s="12">
        <f>ROUND((160/100)*ROUND(ROUND((ROUND((Source!AE154*Source!AV154*Source!I154),2)*Source!BS154),2), 2), 2)</f>
        <v>0</v>
      </c>
      <c r="X216" s="12">
        <f>IF(Source!BI154&lt;=1,I216, 0)</f>
        <v>52573.9</v>
      </c>
      <c r="Y216" s="12">
        <f>IF(Source!BI154=2,I216, 0)</f>
        <v>0</v>
      </c>
      <c r="Z216" s="12">
        <f>IF(Source!BI154=3,I216, 0)</f>
        <v>0</v>
      </c>
      <c r="AA216" s="12">
        <f>IF(Source!BI154=4,I216, 0)</f>
        <v>0</v>
      </c>
      <c r="AI216" s="12">
        <v>3</v>
      </c>
    </row>
    <row r="217" spans="1:35" ht="15">
      <c r="A217" s="22"/>
      <c r="B217" s="22"/>
      <c r="C217" s="22" t="s">
        <v>327</v>
      </c>
      <c r="D217" s="23" t="s">
        <v>328</v>
      </c>
      <c r="E217" s="24">
        <f>Source!DN152</f>
        <v>161</v>
      </c>
      <c r="F217" s="25"/>
      <c r="G217" s="26"/>
      <c r="H217" s="24"/>
      <c r="I217" s="25">
        <f>SUM(Q210:Q216)</f>
        <v>1160.17</v>
      </c>
      <c r="J217" s="24">
        <f>Source!BZ152</f>
        <v>134</v>
      </c>
      <c r="K217" s="25">
        <f>SUM(R210:R216)</f>
        <v>45064.74</v>
      </c>
    </row>
    <row r="218" spans="1:35" ht="15">
      <c r="A218" s="22"/>
      <c r="B218" s="22"/>
      <c r="C218" s="22" t="s">
        <v>329</v>
      </c>
      <c r="D218" s="23" t="s">
        <v>328</v>
      </c>
      <c r="E218" s="24">
        <f>Source!DO152</f>
        <v>107</v>
      </c>
      <c r="F218" s="25"/>
      <c r="G218" s="26"/>
      <c r="H218" s="24"/>
      <c r="I218" s="25">
        <f>SUM(S210:S217)</f>
        <v>771.04</v>
      </c>
      <c r="J218" s="24">
        <f>Source!CA152</f>
        <v>55</v>
      </c>
      <c r="K218" s="25">
        <f>SUM(T210:T217)</f>
        <v>18496.72</v>
      </c>
    </row>
    <row r="219" spans="1:35" ht="15">
      <c r="A219" s="22"/>
      <c r="B219" s="22"/>
      <c r="C219" s="22" t="s">
        <v>330</v>
      </c>
      <c r="D219" s="23" t="s">
        <v>328</v>
      </c>
      <c r="E219" s="24">
        <f>175</f>
        <v>175</v>
      </c>
      <c r="F219" s="25"/>
      <c r="G219" s="26"/>
      <c r="H219" s="24"/>
      <c r="I219" s="25">
        <f>SUM(U210:U218)</f>
        <v>790.14</v>
      </c>
      <c r="J219" s="24">
        <f>160</f>
        <v>160</v>
      </c>
      <c r="K219" s="25">
        <f>SUM(V210:V218)</f>
        <v>33715.15</v>
      </c>
    </row>
    <row r="220" spans="1:35" ht="15">
      <c r="A220" s="30"/>
      <c r="B220" s="30"/>
      <c r="C220" s="30" t="s">
        <v>331</v>
      </c>
      <c r="D220" s="31" t="s">
        <v>332</v>
      </c>
      <c r="E220" s="32">
        <f>Source!AQ152</f>
        <v>14.4</v>
      </c>
      <c r="F220" s="33"/>
      <c r="G220" s="34" t="str">
        <f>Source!DI152</f>
        <v/>
      </c>
      <c r="H220" s="32">
        <f>Source!AV152</f>
        <v>1.0469999999999999</v>
      </c>
      <c r="I220" s="33">
        <f>Source!U152</f>
        <v>68.496917759999988</v>
      </c>
      <c r="J220" s="32"/>
      <c r="K220" s="33"/>
      <c r="AB220" s="35">
        <f>I220</f>
        <v>68.496917759999988</v>
      </c>
    </row>
    <row r="221" spans="1:35" ht="14.25">
      <c r="C221" s="16" t="s">
        <v>333</v>
      </c>
      <c r="H221" s="40">
        <f>I212+I213+I215+I217+I218+I219+SUM(I216:I216)-SUMIF(AI216:AI216, 5, I216:I216)-SUMIF(AI216:AI216, 6, I216:I216)</f>
        <v>61847.130000000005</v>
      </c>
      <c r="I221" s="40"/>
      <c r="J221" s="40">
        <f>K212+K213+K215+K217+K218+K219+SUM(K216:K216)-SUMIF(AI216:AI216, 5, K216:K216)-SUMIF(AI216:AI216, 6, K216:K216)</f>
        <v>656299.09000000008</v>
      </c>
      <c r="K221" s="40"/>
    </row>
    <row r="222" spans="1:35" ht="14.25">
      <c r="C222" s="16" t="s">
        <v>334</v>
      </c>
      <c r="H222" s="37">
        <f>SUMIF(AI216:AI216, 5, I216:I216)+SUMIF(AI216:AI216, 6, I216:I216)</f>
        <v>0</v>
      </c>
      <c r="I222" s="37"/>
      <c r="J222" s="37">
        <f>SUMIF(AI216:AI216, 5, K216:K216)+SUMIF(AI216:AI216, 6, K216:K216)</f>
        <v>0</v>
      </c>
      <c r="K222" s="37"/>
    </row>
    <row r="223" spans="1:35" ht="14.25">
      <c r="H223" s="37"/>
      <c r="I223" s="37"/>
      <c r="J223" s="37"/>
      <c r="K223" s="37"/>
      <c r="O223" s="35">
        <f>I212+I213+I215+I217+I218+I219+SUM(I216:I216)</f>
        <v>61847.130000000005</v>
      </c>
      <c r="P223" s="35">
        <f>K212+K213+K215+K217+K218+K219+SUM(K216:K216)</f>
        <v>656299.09000000008</v>
      </c>
      <c r="X223" s="12">
        <f>IF(Source!BI152&lt;=1,I212+I213+I215+I217+I218+I219-0, 0)</f>
        <v>9273.23</v>
      </c>
      <c r="Y223" s="12">
        <f>IF(Source!BI152=2,I212+I213+I215+I217+I218+I219-0, 0)</f>
        <v>0</v>
      </c>
      <c r="Z223" s="12">
        <f>IF(Source!BI152=3,I212+I213+I215+I217+I218+I219-0, 0)</f>
        <v>0</v>
      </c>
      <c r="AA223" s="12">
        <f>IF(Source!BI152=4,I212+I213+I215+I217+I218+I219,0)</f>
        <v>0</v>
      </c>
    </row>
    <row r="225" spans="1:35" ht="105">
      <c r="A225" s="22">
        <v>15</v>
      </c>
      <c r="B225" s="22" t="str">
        <f>Source!F158</f>
        <v>3.27-12-2</v>
      </c>
      <c r="C225" s="22" t="s">
        <v>181</v>
      </c>
      <c r="D225" s="23" t="str">
        <f>Source!H158</f>
        <v>100 м3 материала основания (в плотном теле)</v>
      </c>
      <c r="E225" s="24">
        <f>Source!I158</f>
        <v>2.2715999999999998</v>
      </c>
      <c r="F225" s="25"/>
      <c r="G225" s="26"/>
      <c r="H225" s="24"/>
      <c r="I225" s="25"/>
      <c r="J225" s="24"/>
      <c r="K225" s="25"/>
      <c r="Q225" s="12">
        <f>ROUND((Source!DN158/100)*ROUND((ROUND((Source!AF158*Source!AV158*Source!I158),2)),2), 2)</f>
        <v>870.11</v>
      </c>
      <c r="R225" s="12">
        <f>Source!X158</f>
        <v>33797.919999999998</v>
      </c>
      <c r="S225" s="12">
        <f>ROUND((Source!DO158/100)*ROUND((ROUND((Source!AF158*Source!AV158*Source!I158),2)),2), 2)</f>
        <v>578.27</v>
      </c>
      <c r="T225" s="12">
        <f>Source!Y158</f>
        <v>13872.28</v>
      </c>
      <c r="U225" s="12">
        <f>ROUND((175/100)*ROUND((ROUND((Source!AE158*Source!AV158*Source!I158),2)),2), 2)</f>
        <v>1682.84</v>
      </c>
      <c r="V225" s="12">
        <f>ROUND((160/100)*ROUND(ROUND((ROUND((Source!AE158*Source!AV158*Source!I158),2)*Source!BS158),2), 2), 2)</f>
        <v>71806.100000000006</v>
      </c>
      <c r="AI225" s="12">
        <v>0</v>
      </c>
    </row>
    <row r="226" spans="1:35">
      <c r="C226" s="27" t="str">
        <f>"Объем: "&amp;Source!I158&amp;"=(1514,4*"&amp;"0,15)/"&amp;"100"</f>
        <v>Объем: 2,2716=(1514,4*0,15)/100</v>
      </c>
    </row>
    <row r="227" spans="1:35" ht="15">
      <c r="A227" s="22"/>
      <c r="B227" s="22"/>
      <c r="C227" s="22" t="s">
        <v>324</v>
      </c>
      <c r="D227" s="23"/>
      <c r="E227" s="24"/>
      <c r="F227" s="25">
        <f>Source!AO158</f>
        <v>227.23</v>
      </c>
      <c r="G227" s="26" t="str">
        <f>Source!DG158</f>
        <v/>
      </c>
      <c r="H227" s="24">
        <f>Source!AV158</f>
        <v>1.0469999999999999</v>
      </c>
      <c r="I227" s="25">
        <f>ROUND((ROUND((Source!AF158*Source!AV158*Source!I158),2)),2)</f>
        <v>540.44000000000005</v>
      </c>
      <c r="J227" s="24">
        <f>IF(Source!BA158&lt;&gt; 0, Source!BA158, 1)</f>
        <v>46.67</v>
      </c>
      <c r="K227" s="25">
        <f>Source!S158</f>
        <v>25222.33</v>
      </c>
      <c r="W227" s="12">
        <f>I227</f>
        <v>540.44000000000005</v>
      </c>
    </row>
    <row r="228" spans="1:35" ht="15">
      <c r="A228" s="22"/>
      <c r="B228" s="22"/>
      <c r="C228" s="22" t="s">
        <v>325</v>
      </c>
      <c r="D228" s="23"/>
      <c r="E228" s="24"/>
      <c r="F228" s="25">
        <f>Source!AM158</f>
        <v>5389.48</v>
      </c>
      <c r="G228" s="26" t="str">
        <f>Source!DE158</f>
        <v/>
      </c>
      <c r="H228" s="24">
        <f>Source!AV158</f>
        <v>1.0469999999999999</v>
      </c>
      <c r="I228" s="25">
        <f>(ROUND((ROUND(((Source!ET158)*Source!AV158*Source!I158),2)),2)+ROUND((ROUND(((Source!AE158-(Source!EU158))*Source!AV158*Source!I158),2)),2))</f>
        <v>12818.15</v>
      </c>
      <c r="J228" s="24">
        <f>IF(Source!BB158&lt;&gt; 0, Source!BB158, 1)</f>
        <v>12.96</v>
      </c>
      <c r="K228" s="25">
        <f>Source!Q158</f>
        <v>166123.22</v>
      </c>
    </row>
    <row r="229" spans="1:35" ht="15">
      <c r="A229" s="22"/>
      <c r="B229" s="22"/>
      <c r="C229" s="22" t="s">
        <v>326</v>
      </c>
      <c r="D229" s="23"/>
      <c r="E229" s="24"/>
      <c r="F229" s="25">
        <f>Source!AN158</f>
        <v>404.32</v>
      </c>
      <c r="G229" s="26" t="str">
        <f>Source!DF158</f>
        <v/>
      </c>
      <c r="H229" s="24">
        <f>Source!AV158</f>
        <v>1.0469999999999999</v>
      </c>
      <c r="I229" s="28">
        <f>ROUND((ROUND((Source!AE158*Source!AV158*Source!I158),2)),2)</f>
        <v>961.62</v>
      </c>
      <c r="J229" s="24">
        <f>IF(Source!BS158&lt;&gt; 0, Source!BS158, 1)</f>
        <v>46.67</v>
      </c>
      <c r="K229" s="28">
        <f>Source!R158</f>
        <v>44878.81</v>
      </c>
      <c r="W229" s="12">
        <f>I229</f>
        <v>961.62</v>
      </c>
    </row>
    <row r="230" spans="1:35" ht="15">
      <c r="A230" s="22"/>
      <c r="B230" s="22"/>
      <c r="C230" s="22" t="s">
        <v>335</v>
      </c>
      <c r="D230" s="23"/>
      <c r="E230" s="24"/>
      <c r="F230" s="25">
        <f>Source!AL158</f>
        <v>49.49</v>
      </c>
      <c r="G230" s="26" t="str">
        <f>Source!DD158</f>
        <v/>
      </c>
      <c r="H230" s="24">
        <f>Source!AW158</f>
        <v>1.002</v>
      </c>
      <c r="I230" s="25">
        <f>ROUND((ROUND((Source!AC158*Source!AW158*Source!I158),2)),2)</f>
        <v>112.65</v>
      </c>
      <c r="J230" s="24">
        <f>IF(Source!BC158&lt;&gt; 0, Source!BC158, 1)</f>
        <v>7.05</v>
      </c>
      <c r="K230" s="25">
        <f>Source!P158</f>
        <v>794.18</v>
      </c>
    </row>
    <row r="231" spans="1:35" ht="45">
      <c r="A231" s="22" t="s">
        <v>183</v>
      </c>
      <c r="B231" s="22" t="str">
        <f>Source!F160</f>
        <v>1.1-1-1555</v>
      </c>
      <c r="C231" s="22" t="s">
        <v>185</v>
      </c>
      <c r="D231" s="23" t="str">
        <f>Source!H160</f>
        <v>м3</v>
      </c>
      <c r="E231" s="24">
        <f>Source!I160</f>
        <v>286.22160000000002</v>
      </c>
      <c r="F231" s="25">
        <f>Source!AK160</f>
        <v>160.62</v>
      </c>
      <c r="G231" s="29" t="s">
        <v>6</v>
      </c>
      <c r="H231" s="24">
        <f>Source!AW160</f>
        <v>1.002</v>
      </c>
      <c r="I231" s="25">
        <f>ROUND((ROUND((Source!AC160*Source!AW160*Source!I160),2)),2)+(ROUND((ROUND(((Source!ET160)*Source!AV160*Source!I160),2)),2)+ROUND((ROUND(((Source!AE160-(Source!EU160))*Source!AV160*Source!I160),2)),2))+ROUND((ROUND((Source!AF160*Source!AV160*Source!I160),2)),2)</f>
        <v>46064.86</v>
      </c>
      <c r="J231" s="24">
        <f>IF(Source!BC160&lt;&gt; 0, Source!BC160, 1)</f>
        <v>19.78</v>
      </c>
      <c r="K231" s="25">
        <f>Source!O160</f>
        <v>911162.93</v>
      </c>
      <c r="Q231" s="12">
        <f>ROUND((Source!DN160/100)*ROUND((ROUND((Source!AF160*Source!AV160*Source!I160),2)),2), 2)</f>
        <v>0</v>
      </c>
      <c r="R231" s="12">
        <f>Source!X160</f>
        <v>0</v>
      </c>
      <c r="S231" s="12">
        <f>ROUND((Source!DO160/100)*ROUND((ROUND((Source!AF160*Source!AV160*Source!I160),2)),2), 2)</f>
        <v>0</v>
      </c>
      <c r="T231" s="12">
        <f>Source!Y160</f>
        <v>0</v>
      </c>
      <c r="U231" s="12">
        <f>ROUND((175/100)*ROUND((ROUND((Source!AE160*Source!AV160*Source!I160),2)),2), 2)</f>
        <v>0</v>
      </c>
      <c r="V231" s="12">
        <f>ROUND((160/100)*ROUND(ROUND((ROUND((Source!AE160*Source!AV160*Source!I160),2)*Source!BS160),2), 2), 2)</f>
        <v>0</v>
      </c>
      <c r="X231" s="12">
        <f>IF(Source!BI160&lt;=1,I231, 0)</f>
        <v>46064.86</v>
      </c>
      <c r="Y231" s="12">
        <f>IF(Source!BI160=2,I231, 0)</f>
        <v>0</v>
      </c>
      <c r="Z231" s="12">
        <f>IF(Source!BI160=3,I231, 0)</f>
        <v>0</v>
      </c>
      <c r="AA231" s="12">
        <f>IF(Source!BI160=4,I231, 0)</f>
        <v>0</v>
      </c>
      <c r="AI231" s="12">
        <v>3</v>
      </c>
    </row>
    <row r="232" spans="1:35" ht="15">
      <c r="A232" s="22"/>
      <c r="B232" s="22"/>
      <c r="C232" s="22" t="s">
        <v>327</v>
      </c>
      <c r="D232" s="23" t="s">
        <v>328</v>
      </c>
      <c r="E232" s="24">
        <f>Source!DN158</f>
        <v>161</v>
      </c>
      <c r="F232" s="25"/>
      <c r="G232" s="26"/>
      <c r="H232" s="24"/>
      <c r="I232" s="25">
        <f>SUM(Q225:Q231)</f>
        <v>870.11</v>
      </c>
      <c r="J232" s="24">
        <f>Source!BZ158</f>
        <v>134</v>
      </c>
      <c r="K232" s="25">
        <f>SUM(R225:R231)</f>
        <v>33797.919999999998</v>
      </c>
    </row>
    <row r="233" spans="1:35" ht="15">
      <c r="A233" s="22"/>
      <c r="B233" s="22"/>
      <c r="C233" s="22" t="s">
        <v>329</v>
      </c>
      <c r="D233" s="23" t="s">
        <v>328</v>
      </c>
      <c r="E233" s="24">
        <f>Source!DO158</f>
        <v>107</v>
      </c>
      <c r="F233" s="25"/>
      <c r="G233" s="26"/>
      <c r="H233" s="24"/>
      <c r="I233" s="25">
        <f>SUM(S225:S232)</f>
        <v>578.27</v>
      </c>
      <c r="J233" s="24">
        <f>Source!CA158</f>
        <v>55</v>
      </c>
      <c r="K233" s="25">
        <f>SUM(T225:T232)</f>
        <v>13872.28</v>
      </c>
    </row>
    <row r="234" spans="1:35" ht="15">
      <c r="A234" s="22"/>
      <c r="B234" s="22"/>
      <c r="C234" s="22" t="s">
        <v>330</v>
      </c>
      <c r="D234" s="23" t="s">
        <v>328</v>
      </c>
      <c r="E234" s="24">
        <f>175</f>
        <v>175</v>
      </c>
      <c r="F234" s="25"/>
      <c r="G234" s="26"/>
      <c r="H234" s="24"/>
      <c r="I234" s="25">
        <f>SUM(U225:U233)</f>
        <v>1682.84</v>
      </c>
      <c r="J234" s="24">
        <f>160</f>
        <v>160</v>
      </c>
      <c r="K234" s="25">
        <f>SUM(V225:V233)</f>
        <v>71806.100000000006</v>
      </c>
    </row>
    <row r="235" spans="1:35" ht="15">
      <c r="A235" s="30"/>
      <c r="B235" s="30"/>
      <c r="C235" s="30" t="s">
        <v>331</v>
      </c>
      <c r="D235" s="31" t="s">
        <v>332</v>
      </c>
      <c r="E235" s="32">
        <f>Source!AQ158</f>
        <v>21.6</v>
      </c>
      <c r="F235" s="33"/>
      <c r="G235" s="34" t="str">
        <f>Source!DI158</f>
        <v/>
      </c>
      <c r="H235" s="32">
        <f>Source!AV158</f>
        <v>1.0469999999999999</v>
      </c>
      <c r="I235" s="33">
        <f>Source!U158</f>
        <v>51.372688320000002</v>
      </c>
      <c r="J235" s="32"/>
      <c r="K235" s="33"/>
      <c r="AB235" s="35">
        <f>I235</f>
        <v>51.372688320000002</v>
      </c>
    </row>
    <row r="236" spans="1:35" ht="14.25">
      <c r="C236" s="16" t="s">
        <v>333</v>
      </c>
      <c r="H236" s="40">
        <f>I227+I228+I230+I232+I233+I234+SUM(I231:I231)-SUMIF(AI231:AI231, 5, I231:I231)-SUMIF(AI231:AI231, 6, I231:I231)</f>
        <v>62667.32</v>
      </c>
      <c r="I236" s="40"/>
      <c r="J236" s="40">
        <f>K227+K228+K230+K232+K233+K234+SUM(K231:K231)-SUMIF(AI231:AI231, 5, K231:K231)-SUMIF(AI231:AI231, 6, K231:K231)</f>
        <v>1222778.96</v>
      </c>
      <c r="K236" s="40"/>
    </row>
    <row r="237" spans="1:35" ht="14.25">
      <c r="C237" s="16" t="s">
        <v>334</v>
      </c>
      <c r="H237" s="37">
        <f>SUMIF(AI231:AI231, 5, I231:I231)+SUMIF(AI231:AI231, 6, I231:I231)</f>
        <v>0</v>
      </c>
      <c r="I237" s="37"/>
      <c r="J237" s="37">
        <f>SUMIF(AI231:AI231, 5, K231:K231)+SUMIF(AI231:AI231, 6, K231:K231)</f>
        <v>0</v>
      </c>
      <c r="K237" s="37"/>
    </row>
    <row r="238" spans="1:35" ht="14.25">
      <c r="H238" s="37"/>
      <c r="I238" s="37"/>
      <c r="J238" s="37"/>
      <c r="K238" s="37"/>
      <c r="O238" s="35">
        <f>I227+I228+I230+I232+I233+I234+SUM(I231:I231)</f>
        <v>62667.32</v>
      </c>
      <c r="P238" s="35">
        <f>K227+K228+K230+K232+K233+K234+SUM(K231:K231)</f>
        <v>1222778.96</v>
      </c>
      <c r="X238" s="12">
        <f>IF(Source!BI158&lt;=1,I227+I228+I230+I232+I233+I234-0, 0)</f>
        <v>16602.46</v>
      </c>
      <c r="Y238" s="12">
        <f>IF(Source!BI158=2,I227+I228+I230+I232+I233+I234-0, 0)</f>
        <v>0</v>
      </c>
      <c r="Z238" s="12">
        <f>IF(Source!BI158=3,I227+I228+I230+I232+I233+I234-0, 0)</f>
        <v>0</v>
      </c>
      <c r="AA238" s="12">
        <f>IF(Source!BI158=4,I227+I228+I230+I232+I233+I234,0)</f>
        <v>0</v>
      </c>
    </row>
    <row r="240" spans="1:35" ht="45">
      <c r="A240" s="22">
        <v>16</v>
      </c>
      <c r="B240" s="22" t="str">
        <f>Source!F162</f>
        <v>3.27-69-1</v>
      </c>
      <c r="C240" s="22" t="s">
        <v>148</v>
      </c>
      <c r="D240" s="23" t="str">
        <f>Source!H162</f>
        <v>1000 м2 поверхности</v>
      </c>
      <c r="E240" s="24">
        <f>Source!I162</f>
        <v>1.5144</v>
      </c>
      <c r="F240" s="25"/>
      <c r="G240" s="26"/>
      <c r="H240" s="24"/>
      <c r="I240" s="25"/>
      <c r="J240" s="24"/>
      <c r="K240" s="25"/>
      <c r="Q240" s="12">
        <f>ROUND((Source!DN162/100)*ROUND((ROUND((Source!AF162*Source!AV162*Source!I162),2)),2), 2)</f>
        <v>728.33</v>
      </c>
      <c r="R240" s="12">
        <f>Source!X162</f>
        <v>28290.84</v>
      </c>
      <c r="S240" s="12">
        <f>ROUND((Source!DO162/100)*ROUND((ROUND((Source!AF162*Source!AV162*Source!I162),2)),2), 2)</f>
        <v>484.05</v>
      </c>
      <c r="T240" s="12">
        <f>Source!Y162</f>
        <v>11611.91</v>
      </c>
      <c r="U240" s="12">
        <f>ROUND((175/100)*ROUND((ROUND((Source!AE162*Source!AV162*Source!I162),2)),2), 2)</f>
        <v>166.29</v>
      </c>
      <c r="V240" s="12">
        <f>ROUND((160/100)*ROUND(ROUND((ROUND((Source!AE162*Source!AV162*Source!I162),2)*Source!BS162),2), 2), 2)</f>
        <v>7095.33</v>
      </c>
      <c r="AI240" s="12">
        <v>0</v>
      </c>
    </row>
    <row r="241" spans="1:35">
      <c r="C241" s="27" t="str">
        <f>"Объем: "&amp;Source!I162&amp;"=(1514,4)/"&amp;"1000"</f>
        <v>Объем: 1,5144=(1514,4)/1000</v>
      </c>
    </row>
    <row r="242" spans="1:35" ht="15">
      <c r="A242" s="22"/>
      <c r="B242" s="22"/>
      <c r="C242" s="22" t="s">
        <v>324</v>
      </c>
      <c r="D242" s="23"/>
      <c r="E242" s="24"/>
      <c r="F242" s="25">
        <f>Source!AO162</f>
        <v>285.31</v>
      </c>
      <c r="G242" s="26" t="str">
        <f>Source!DG162</f>
        <v/>
      </c>
      <c r="H242" s="24">
        <f>Source!AV162</f>
        <v>1.0469999999999999</v>
      </c>
      <c r="I242" s="25">
        <f>ROUND((ROUND((Source!AF162*Source!AV162*Source!I162),2)),2)</f>
        <v>452.38</v>
      </c>
      <c r="J242" s="24">
        <f>IF(Source!BA162&lt;&gt; 0, Source!BA162, 1)</f>
        <v>46.67</v>
      </c>
      <c r="K242" s="25">
        <f>Source!S162</f>
        <v>21112.57</v>
      </c>
      <c r="W242" s="12">
        <f>I242</f>
        <v>452.38</v>
      </c>
    </row>
    <row r="243" spans="1:35" ht="15">
      <c r="A243" s="22"/>
      <c r="B243" s="22"/>
      <c r="C243" s="22" t="s">
        <v>325</v>
      </c>
      <c r="D243" s="23"/>
      <c r="E243" s="24"/>
      <c r="F243" s="25">
        <f>Source!AM162</f>
        <v>665.38</v>
      </c>
      <c r="G243" s="26" t="str">
        <f>Source!DE162</f>
        <v/>
      </c>
      <c r="H243" s="24">
        <f>Source!AV162</f>
        <v>1.0469999999999999</v>
      </c>
      <c r="I243" s="25">
        <f>(ROUND((ROUND(((Source!ET162)*Source!AV162*Source!I162),2)),2)+ROUND((ROUND(((Source!AE162-(Source!EU162))*Source!AV162*Source!I162),2)),2))</f>
        <v>1055.01</v>
      </c>
      <c r="J243" s="24">
        <f>IF(Source!BB162&lt;&gt; 0, Source!BB162, 1)</f>
        <v>13.51</v>
      </c>
      <c r="K243" s="25">
        <f>Source!Q162</f>
        <v>14253.19</v>
      </c>
    </row>
    <row r="244" spans="1:35" ht="15">
      <c r="A244" s="22"/>
      <c r="B244" s="22"/>
      <c r="C244" s="22" t="s">
        <v>326</v>
      </c>
      <c r="D244" s="23"/>
      <c r="E244" s="24"/>
      <c r="F244" s="25">
        <f>Source!AN162</f>
        <v>59.93</v>
      </c>
      <c r="G244" s="26" t="str">
        <f>Source!DF162</f>
        <v/>
      </c>
      <c r="H244" s="24">
        <f>Source!AV162</f>
        <v>1.0469999999999999</v>
      </c>
      <c r="I244" s="28">
        <f>ROUND((ROUND((Source!AE162*Source!AV162*Source!I162),2)),2)</f>
        <v>95.02</v>
      </c>
      <c r="J244" s="24">
        <f>IF(Source!BS162&lt;&gt; 0, Source!BS162, 1)</f>
        <v>46.67</v>
      </c>
      <c r="K244" s="28">
        <f>Source!R162</f>
        <v>4434.58</v>
      </c>
      <c r="W244" s="12">
        <f>I244</f>
        <v>95.02</v>
      </c>
    </row>
    <row r="245" spans="1:35" ht="15">
      <c r="A245" s="22"/>
      <c r="B245" s="22"/>
      <c r="C245" s="22" t="s">
        <v>335</v>
      </c>
      <c r="D245" s="23"/>
      <c r="E245" s="24"/>
      <c r="F245" s="25">
        <f>Source!AL162</f>
        <v>0.89</v>
      </c>
      <c r="G245" s="26" t="str">
        <f>Source!DD162</f>
        <v/>
      </c>
      <c r="H245" s="24">
        <f>Source!AW162</f>
        <v>1.002</v>
      </c>
      <c r="I245" s="25">
        <f>ROUND((ROUND((Source!AC162*Source!AW162*Source!I162),2)),2)</f>
        <v>1.35</v>
      </c>
      <c r="J245" s="24">
        <f>IF(Source!BC162&lt;&gt; 0, Source!BC162, 1)</f>
        <v>8</v>
      </c>
      <c r="K245" s="25">
        <f>Source!P162</f>
        <v>10.8</v>
      </c>
    </row>
    <row r="246" spans="1:35" ht="30">
      <c r="A246" s="22" t="s">
        <v>188</v>
      </c>
      <c r="B246" s="22" t="str">
        <f>Source!F164</f>
        <v>1.1-1-1605</v>
      </c>
      <c r="C246" s="22" t="s">
        <v>155</v>
      </c>
      <c r="D246" s="23" t="str">
        <f>Source!H164</f>
        <v>м2</v>
      </c>
      <c r="E246" s="24">
        <f>Source!I164</f>
        <v>1514.4</v>
      </c>
      <c r="F246" s="25">
        <f>Source!AK164</f>
        <v>13.87</v>
      </c>
      <c r="G246" s="29" t="s">
        <v>6</v>
      </c>
      <c r="H246" s="24">
        <f>Source!AW164</f>
        <v>1.002</v>
      </c>
      <c r="I246" s="25">
        <f>ROUND((ROUND((Source!AC164*Source!AW164*Source!I164),2)),2)+(ROUND((ROUND(((Source!ET164)*Source!AV164*Source!I164),2)),2)+ROUND((ROUND(((Source!AE164-(Source!EU164))*Source!AV164*Source!I164),2)),2))+ROUND((ROUND((Source!AF164*Source!AV164*Source!I164),2)),2)</f>
        <v>21046.74</v>
      </c>
      <c r="J246" s="24">
        <f>IF(Source!BC164&lt;&gt; 0, Source!BC164, 1)</f>
        <v>3.76</v>
      </c>
      <c r="K246" s="25">
        <f>Source!O164</f>
        <v>79135.740000000005</v>
      </c>
      <c r="Q246" s="12">
        <f>ROUND((Source!DN164/100)*ROUND((ROUND((Source!AF164*Source!AV164*Source!I164),2)),2), 2)</f>
        <v>0</v>
      </c>
      <c r="R246" s="12">
        <f>Source!X164</f>
        <v>0</v>
      </c>
      <c r="S246" s="12">
        <f>ROUND((Source!DO164/100)*ROUND((ROUND((Source!AF164*Source!AV164*Source!I164),2)),2), 2)</f>
        <v>0</v>
      </c>
      <c r="T246" s="12">
        <f>Source!Y164</f>
        <v>0</v>
      </c>
      <c r="U246" s="12">
        <f>ROUND((175/100)*ROUND((ROUND((Source!AE164*Source!AV164*Source!I164),2)),2), 2)</f>
        <v>0</v>
      </c>
      <c r="V246" s="12">
        <f>ROUND((160/100)*ROUND(ROUND((ROUND((Source!AE164*Source!AV164*Source!I164),2)*Source!BS164),2), 2), 2)</f>
        <v>0</v>
      </c>
      <c r="X246" s="12">
        <f>IF(Source!BI164&lt;=1,I246, 0)</f>
        <v>21046.74</v>
      </c>
      <c r="Y246" s="12">
        <f>IF(Source!BI164=2,I246, 0)</f>
        <v>0</v>
      </c>
      <c r="Z246" s="12">
        <f>IF(Source!BI164=3,I246, 0)</f>
        <v>0</v>
      </c>
      <c r="AA246" s="12">
        <f>IF(Source!BI164=4,I246, 0)</f>
        <v>0</v>
      </c>
      <c r="AI246" s="12">
        <v>3</v>
      </c>
    </row>
    <row r="247" spans="1:35" ht="15">
      <c r="A247" s="22"/>
      <c r="B247" s="22"/>
      <c r="C247" s="22" t="s">
        <v>327</v>
      </c>
      <c r="D247" s="23" t="s">
        <v>328</v>
      </c>
      <c r="E247" s="24">
        <f>Source!DN162</f>
        <v>161</v>
      </c>
      <c r="F247" s="25"/>
      <c r="G247" s="26"/>
      <c r="H247" s="24"/>
      <c r="I247" s="25">
        <f>SUM(Q240:Q246)</f>
        <v>728.33</v>
      </c>
      <c r="J247" s="24">
        <f>Source!BZ162</f>
        <v>134</v>
      </c>
      <c r="K247" s="25">
        <f>SUM(R240:R246)</f>
        <v>28290.84</v>
      </c>
    </row>
    <row r="248" spans="1:35" ht="15">
      <c r="A248" s="22"/>
      <c r="B248" s="22"/>
      <c r="C248" s="22" t="s">
        <v>329</v>
      </c>
      <c r="D248" s="23" t="s">
        <v>328</v>
      </c>
      <c r="E248" s="24">
        <f>Source!DO162</f>
        <v>107</v>
      </c>
      <c r="F248" s="25"/>
      <c r="G248" s="26"/>
      <c r="H248" s="24"/>
      <c r="I248" s="25">
        <f>SUM(S240:S247)</f>
        <v>484.05</v>
      </c>
      <c r="J248" s="24">
        <f>Source!CA162</f>
        <v>55</v>
      </c>
      <c r="K248" s="25">
        <f>SUM(T240:T247)</f>
        <v>11611.91</v>
      </c>
    </row>
    <row r="249" spans="1:35" ht="15">
      <c r="A249" s="22"/>
      <c r="B249" s="22"/>
      <c r="C249" s="22" t="s">
        <v>330</v>
      </c>
      <c r="D249" s="23" t="s">
        <v>328</v>
      </c>
      <c r="E249" s="24">
        <f>175</f>
        <v>175</v>
      </c>
      <c r="F249" s="25"/>
      <c r="G249" s="26"/>
      <c r="H249" s="24"/>
      <c r="I249" s="25">
        <f>SUM(U240:U248)</f>
        <v>166.29</v>
      </c>
      <c r="J249" s="24">
        <f>160</f>
        <v>160</v>
      </c>
      <c r="K249" s="25">
        <f>SUM(V240:V248)</f>
        <v>7095.33</v>
      </c>
    </row>
    <row r="250" spans="1:35" ht="15">
      <c r="A250" s="30"/>
      <c r="B250" s="30"/>
      <c r="C250" s="30" t="s">
        <v>331</v>
      </c>
      <c r="D250" s="31" t="s">
        <v>332</v>
      </c>
      <c r="E250" s="32">
        <f>Source!AQ162</f>
        <v>27.7</v>
      </c>
      <c r="F250" s="33"/>
      <c r="G250" s="34" t="str">
        <f>Source!DI162</f>
        <v/>
      </c>
      <c r="H250" s="32">
        <f>Source!AV162</f>
        <v>1.0469999999999999</v>
      </c>
      <c r="I250" s="33">
        <f>Source!U162</f>
        <v>43.920477359999992</v>
      </c>
      <c r="J250" s="32"/>
      <c r="K250" s="33"/>
      <c r="AB250" s="35">
        <f>I250</f>
        <v>43.920477359999992</v>
      </c>
    </row>
    <row r="251" spans="1:35" ht="14.25">
      <c r="C251" s="16" t="s">
        <v>333</v>
      </c>
      <c r="H251" s="40">
        <f>I242+I243+I245+I247+I248+I249+SUM(I246:I246)-SUMIF(AI246:AI246, 5, I246:I246)-SUMIF(AI246:AI246, 6, I246:I246)</f>
        <v>23934.15</v>
      </c>
      <c r="I251" s="40"/>
      <c r="J251" s="40">
        <f>K242+K243+K245+K247+K248+K249+SUM(K246:K246)-SUMIF(AI246:AI246, 5, K246:K246)-SUMIF(AI246:AI246, 6, K246:K246)</f>
        <v>161510.38</v>
      </c>
      <c r="K251" s="40"/>
    </row>
    <row r="252" spans="1:35" ht="14.25">
      <c r="C252" s="16" t="s">
        <v>334</v>
      </c>
      <c r="H252" s="37">
        <f>SUMIF(AI246:AI246, 5, I246:I246)+SUMIF(AI246:AI246, 6, I246:I246)</f>
        <v>0</v>
      </c>
      <c r="I252" s="37"/>
      <c r="J252" s="37">
        <f>SUMIF(AI246:AI246, 5, K246:K246)+SUMIF(AI246:AI246, 6, K246:K246)</f>
        <v>0</v>
      </c>
      <c r="K252" s="37"/>
    </row>
    <row r="253" spans="1:35" ht="14.25">
      <c r="H253" s="37"/>
      <c r="I253" s="37"/>
      <c r="J253" s="37"/>
      <c r="K253" s="37"/>
      <c r="O253" s="35">
        <f>I242+I243+I245+I247+I248+I249+SUM(I246:I246)</f>
        <v>23934.15</v>
      </c>
      <c r="P253" s="35">
        <f>K242+K243+K245+K247+K248+K249+SUM(K246:K246)</f>
        <v>161510.38</v>
      </c>
      <c r="X253" s="12">
        <f>IF(Source!BI162&lt;=1,I242+I243+I245+I247+I248+I249-0, 0)</f>
        <v>2887.41</v>
      </c>
      <c r="Y253" s="12">
        <f>IF(Source!BI162=2,I242+I243+I245+I247+I248+I249-0, 0)</f>
        <v>0</v>
      </c>
      <c r="Z253" s="12">
        <f>IF(Source!BI162=3,I242+I243+I245+I247+I248+I249-0, 0)</f>
        <v>0</v>
      </c>
      <c r="AA253" s="12">
        <f>IF(Source!BI162=4,I242+I243+I245+I247+I248+I249,0)</f>
        <v>0</v>
      </c>
    </row>
    <row r="255" spans="1:35" ht="30">
      <c r="A255" s="22">
        <v>17</v>
      </c>
      <c r="B255" s="22" t="str">
        <f>Source!F168</f>
        <v>3.27-30-1</v>
      </c>
      <c r="C255" s="22" t="s">
        <v>192</v>
      </c>
      <c r="D255" s="23" t="str">
        <f>Source!H168</f>
        <v>1000 м2 основания</v>
      </c>
      <c r="E255" s="24">
        <f>Source!I168</f>
        <v>1.5144</v>
      </c>
      <c r="F255" s="25"/>
      <c r="G255" s="26"/>
      <c r="H255" s="24"/>
      <c r="I255" s="25"/>
      <c r="J255" s="24"/>
      <c r="K255" s="25"/>
      <c r="Q255" s="12">
        <f>ROUND((Source!DN168/100)*ROUND((ROUND((Source!AF168*Source!AV168*Source!I168),2)),2), 2)</f>
        <v>7817.85</v>
      </c>
      <c r="R255" s="12">
        <f>Source!X168</f>
        <v>303671.67</v>
      </c>
      <c r="S255" s="12">
        <f>ROUND((Source!DO168/100)*ROUND((ROUND((Source!AF168*Source!AV168*Source!I168),2)),2), 2)</f>
        <v>5195.72</v>
      </c>
      <c r="T255" s="12">
        <f>Source!Y168</f>
        <v>124641.36</v>
      </c>
      <c r="U255" s="12">
        <f>ROUND((175/100)*ROUND((ROUND((Source!AE168*Source!AV168*Source!I168),2)),2), 2)</f>
        <v>453.62</v>
      </c>
      <c r="V255" s="12">
        <f>ROUND((160/100)*ROUND(ROUND((ROUND((Source!AE168*Source!AV168*Source!I168),2)*Source!BS168),2), 2), 2)</f>
        <v>19355.73</v>
      </c>
      <c r="AI255" s="12">
        <v>0</v>
      </c>
    </row>
    <row r="256" spans="1:35">
      <c r="C256" s="27" t="str">
        <f>"Объем: "&amp;Source!I168&amp;"=(1514,4)/"&amp;"1000"</f>
        <v>Объем: 1,5144=(1514,4)/1000</v>
      </c>
    </row>
    <row r="257" spans="1:35" ht="15">
      <c r="A257" s="22"/>
      <c r="B257" s="22"/>
      <c r="C257" s="22" t="s">
        <v>324</v>
      </c>
      <c r="D257" s="23"/>
      <c r="E257" s="24"/>
      <c r="F257" s="25">
        <f>Source!AO168</f>
        <v>3062.49</v>
      </c>
      <c r="G257" s="26" t="str">
        <f>Source!DG168</f>
        <v/>
      </c>
      <c r="H257" s="24">
        <f>Source!AV168</f>
        <v>1.0469999999999999</v>
      </c>
      <c r="I257" s="25">
        <f>ROUND((ROUND((Source!AF168*Source!AV168*Source!I168),2)),2)</f>
        <v>4855.8100000000004</v>
      </c>
      <c r="J257" s="24">
        <f>IF(Source!BA168&lt;&gt; 0, Source!BA168, 1)</f>
        <v>46.67</v>
      </c>
      <c r="K257" s="25">
        <f>Source!S168</f>
        <v>226620.65</v>
      </c>
      <c r="W257" s="12">
        <f>I257</f>
        <v>4855.8100000000004</v>
      </c>
    </row>
    <row r="258" spans="1:35" ht="15">
      <c r="A258" s="22"/>
      <c r="B258" s="22"/>
      <c r="C258" s="22" t="s">
        <v>325</v>
      </c>
      <c r="D258" s="23"/>
      <c r="E258" s="24"/>
      <c r="F258" s="25">
        <f>Source!AM168</f>
        <v>2006.03</v>
      </c>
      <c r="G258" s="26" t="str">
        <f>Source!DE168</f>
        <v/>
      </c>
      <c r="H258" s="24">
        <f>Source!AV168</f>
        <v>1.0469999999999999</v>
      </c>
      <c r="I258" s="25">
        <f>(ROUND((ROUND(((Source!ET168)*Source!AV168*Source!I168),2)),2)+ROUND((ROUND(((Source!AE168-(Source!EU168))*Source!AV168*Source!I168),2)),2))</f>
        <v>3180.71</v>
      </c>
      <c r="J258" s="24">
        <f>IF(Source!BB168&lt;&gt; 0, Source!BB168, 1)</f>
        <v>12.95</v>
      </c>
      <c r="K258" s="25">
        <f>Source!Q168</f>
        <v>41190.19</v>
      </c>
    </row>
    <row r="259" spans="1:35" ht="15">
      <c r="A259" s="22"/>
      <c r="B259" s="22"/>
      <c r="C259" s="22" t="s">
        <v>326</v>
      </c>
      <c r="D259" s="23"/>
      <c r="E259" s="24"/>
      <c r="F259" s="25">
        <f>Source!AN168</f>
        <v>163.47999999999999</v>
      </c>
      <c r="G259" s="26" t="str">
        <f>Source!DF168</f>
        <v/>
      </c>
      <c r="H259" s="24">
        <f>Source!AV168</f>
        <v>1.0469999999999999</v>
      </c>
      <c r="I259" s="28">
        <f>ROUND((ROUND((Source!AE168*Source!AV168*Source!I168),2)),2)</f>
        <v>259.20999999999998</v>
      </c>
      <c r="J259" s="24">
        <f>IF(Source!BS168&lt;&gt; 0, Source!BS168, 1)</f>
        <v>46.67</v>
      </c>
      <c r="K259" s="28">
        <f>Source!R168</f>
        <v>12097.33</v>
      </c>
      <c r="W259" s="12">
        <f>I259</f>
        <v>259.20999999999998</v>
      </c>
    </row>
    <row r="260" spans="1:35" ht="15">
      <c r="A260" s="22"/>
      <c r="B260" s="22"/>
      <c r="C260" s="22" t="s">
        <v>335</v>
      </c>
      <c r="D260" s="23"/>
      <c r="E260" s="24"/>
      <c r="F260" s="25">
        <f>Source!AL168</f>
        <v>6742.82</v>
      </c>
      <c r="G260" s="26" t="str">
        <f>Source!DD168</f>
        <v/>
      </c>
      <c r="H260" s="24">
        <f>Source!AW168</f>
        <v>1.002</v>
      </c>
      <c r="I260" s="25">
        <f>ROUND((ROUND((Source!AC168*Source!AW168*Source!I168),2)),2)</f>
        <v>10231.75</v>
      </c>
      <c r="J260" s="24">
        <f>IF(Source!BC168&lt;&gt; 0, Source!BC168, 1)</f>
        <v>7.57</v>
      </c>
      <c r="K260" s="25">
        <f>Source!P168</f>
        <v>77454.350000000006</v>
      </c>
    </row>
    <row r="261" spans="1:35" ht="60">
      <c r="A261" s="22" t="s">
        <v>197</v>
      </c>
      <c r="B261" s="22" t="str">
        <f>Source!F170</f>
        <v>1.3-1-36</v>
      </c>
      <c r="C261" s="22" t="s">
        <v>199</v>
      </c>
      <c r="D261" s="23" t="str">
        <f>Source!H170</f>
        <v>м3</v>
      </c>
      <c r="E261" s="24">
        <f>Source!I170</f>
        <v>245.33279999999999</v>
      </c>
      <c r="F261" s="25">
        <f>Source!AK170</f>
        <v>517.14</v>
      </c>
      <c r="G261" s="29" t="s">
        <v>6</v>
      </c>
      <c r="H261" s="24">
        <f>Source!AW170</f>
        <v>1.002</v>
      </c>
      <c r="I261" s="25">
        <f>ROUND((ROUND((Source!AC170*Source!AW170*Source!I170),2)),2)+(ROUND((ROUND(((Source!ET170)*Source!AV170*Source!I170),2)),2)+ROUND((ROUND(((Source!AE170-(Source!EU170))*Source!AV170*Source!I170),2)),2))+ROUND((ROUND((Source!AF170*Source!AV170*Source!I170),2)),2)</f>
        <v>127125.15</v>
      </c>
      <c r="J261" s="24">
        <f>IF(Source!BC170&lt;&gt; 0, Source!BC170, 1)</f>
        <v>12.78</v>
      </c>
      <c r="K261" s="25">
        <f>Source!O170</f>
        <v>1624659.42</v>
      </c>
      <c r="Q261" s="12">
        <f>ROUND((Source!DN170/100)*ROUND((ROUND((Source!AF170*Source!AV170*Source!I170),2)),2), 2)</f>
        <v>0</v>
      </c>
      <c r="R261" s="12">
        <f>Source!X170</f>
        <v>0</v>
      </c>
      <c r="S261" s="12">
        <f>ROUND((Source!DO170/100)*ROUND((ROUND((Source!AF170*Source!AV170*Source!I170),2)),2), 2)</f>
        <v>0</v>
      </c>
      <c r="T261" s="12">
        <f>Source!Y170</f>
        <v>0</v>
      </c>
      <c r="U261" s="12">
        <f>ROUND((175/100)*ROUND((ROUND((Source!AE170*Source!AV170*Source!I170),2)),2), 2)</f>
        <v>0</v>
      </c>
      <c r="V261" s="12">
        <f>ROUND((160/100)*ROUND(ROUND((ROUND((Source!AE170*Source!AV170*Source!I170),2)*Source!BS170),2), 2), 2)</f>
        <v>0</v>
      </c>
      <c r="X261" s="12">
        <f>IF(Source!BI170&lt;=1,I261, 0)</f>
        <v>127125.15</v>
      </c>
      <c r="Y261" s="12">
        <f>IF(Source!BI170=2,I261, 0)</f>
        <v>0</v>
      </c>
      <c r="Z261" s="12">
        <f>IF(Source!BI170=3,I261, 0)</f>
        <v>0</v>
      </c>
      <c r="AA261" s="12">
        <f>IF(Source!BI170=4,I261, 0)</f>
        <v>0</v>
      </c>
      <c r="AI261" s="12">
        <v>3</v>
      </c>
    </row>
    <row r="262" spans="1:35" ht="15">
      <c r="A262" s="22"/>
      <c r="B262" s="22"/>
      <c r="C262" s="22" t="s">
        <v>327</v>
      </c>
      <c r="D262" s="23" t="s">
        <v>328</v>
      </c>
      <c r="E262" s="24">
        <f>Source!DN168</f>
        <v>161</v>
      </c>
      <c r="F262" s="25"/>
      <c r="G262" s="26"/>
      <c r="H262" s="24"/>
      <c r="I262" s="25">
        <f>SUM(Q255:Q261)</f>
        <v>7817.85</v>
      </c>
      <c r="J262" s="24">
        <f>Source!BZ168</f>
        <v>134</v>
      </c>
      <c r="K262" s="25">
        <f>SUM(R255:R261)</f>
        <v>303671.67</v>
      </c>
    </row>
    <row r="263" spans="1:35" ht="15">
      <c r="A263" s="22"/>
      <c r="B263" s="22"/>
      <c r="C263" s="22" t="s">
        <v>329</v>
      </c>
      <c r="D263" s="23" t="s">
        <v>328</v>
      </c>
      <c r="E263" s="24">
        <f>Source!DO168</f>
        <v>107</v>
      </c>
      <c r="F263" s="25"/>
      <c r="G263" s="26"/>
      <c r="H263" s="24"/>
      <c r="I263" s="25">
        <f>SUM(S255:S262)</f>
        <v>5195.72</v>
      </c>
      <c r="J263" s="24">
        <f>Source!CA168</f>
        <v>55</v>
      </c>
      <c r="K263" s="25">
        <f>SUM(T255:T262)</f>
        <v>124641.36</v>
      </c>
    </row>
    <row r="264" spans="1:35" ht="15">
      <c r="A264" s="22"/>
      <c r="B264" s="22"/>
      <c r="C264" s="22" t="s">
        <v>330</v>
      </c>
      <c r="D264" s="23" t="s">
        <v>328</v>
      </c>
      <c r="E264" s="24">
        <f>175</f>
        <v>175</v>
      </c>
      <c r="F264" s="25"/>
      <c r="G264" s="26"/>
      <c r="H264" s="24"/>
      <c r="I264" s="25">
        <f>SUM(U255:U263)</f>
        <v>453.62</v>
      </c>
      <c r="J264" s="24">
        <f>160</f>
        <v>160</v>
      </c>
      <c r="K264" s="25">
        <f>SUM(V255:V263)</f>
        <v>19355.73</v>
      </c>
    </row>
    <row r="265" spans="1:35" ht="15">
      <c r="A265" s="30"/>
      <c r="B265" s="30"/>
      <c r="C265" s="30" t="s">
        <v>331</v>
      </c>
      <c r="D265" s="31" t="s">
        <v>332</v>
      </c>
      <c r="E265" s="32">
        <f>Source!AQ168</f>
        <v>267</v>
      </c>
      <c r="F265" s="33"/>
      <c r="G265" s="34" t="str">
        <f>Source!DI168</f>
        <v/>
      </c>
      <c r="H265" s="32">
        <f>Source!AV168</f>
        <v>1.0469999999999999</v>
      </c>
      <c r="I265" s="33">
        <f>Source!U168</f>
        <v>423.34900559999994</v>
      </c>
      <c r="J265" s="32"/>
      <c r="K265" s="33"/>
      <c r="AB265" s="35">
        <f>I265</f>
        <v>423.34900559999994</v>
      </c>
    </row>
    <row r="266" spans="1:35" ht="14.25">
      <c r="C266" s="16" t="s">
        <v>333</v>
      </c>
      <c r="H266" s="40">
        <f>I257+I258+I260+I262+I263+I264+SUM(I261:I261)-SUMIF(AI261:AI261, 5, I261:I261)-SUMIF(AI261:AI261, 6, I261:I261)</f>
        <v>158860.60999999999</v>
      </c>
      <c r="I266" s="40"/>
      <c r="J266" s="40">
        <f>K257+K258+K260+K262+K263+K264+SUM(K261:K261)-SUMIF(AI261:AI261, 5, K261:K261)-SUMIF(AI261:AI261, 6, K261:K261)</f>
        <v>2417593.3699999996</v>
      </c>
      <c r="K266" s="40"/>
    </row>
    <row r="267" spans="1:35" ht="14.25">
      <c r="C267" s="16" t="s">
        <v>334</v>
      </c>
      <c r="H267" s="37">
        <f>SUMIF(AI261:AI261, 5, I261:I261)+SUMIF(AI261:AI261, 6, I261:I261)</f>
        <v>0</v>
      </c>
      <c r="I267" s="37"/>
      <c r="J267" s="37">
        <f>SUMIF(AI261:AI261, 5, K261:K261)+SUMIF(AI261:AI261, 6, K261:K261)</f>
        <v>0</v>
      </c>
      <c r="K267" s="37"/>
    </row>
    <row r="268" spans="1:35" ht="14.25">
      <c r="H268" s="37"/>
      <c r="I268" s="37"/>
      <c r="J268" s="37"/>
      <c r="K268" s="37"/>
      <c r="O268" s="35">
        <f>I257+I258+I260+I262+I263+I264+SUM(I261:I261)</f>
        <v>158860.60999999999</v>
      </c>
      <c r="P268" s="35">
        <f>K257+K258+K260+K262+K263+K264+SUM(K261:K261)</f>
        <v>2417593.3699999996</v>
      </c>
      <c r="X268" s="12">
        <f>IF(Source!BI168&lt;=1,I257+I258+I260+I262+I263+I264-0, 0)</f>
        <v>31735.460000000003</v>
      </c>
      <c r="Y268" s="12">
        <f>IF(Source!BI168=2,I257+I258+I260+I262+I263+I264-0, 0)</f>
        <v>0</v>
      </c>
      <c r="Z268" s="12">
        <f>IF(Source!BI168=3,I257+I258+I260+I262+I263+I264-0, 0)</f>
        <v>0</v>
      </c>
      <c r="AA268" s="12">
        <f>IF(Source!BI168=4,I257+I258+I260+I262+I263+I264,0)</f>
        <v>0</v>
      </c>
    </row>
    <row r="270" spans="1:35" ht="30">
      <c r="A270" s="22">
        <v>18</v>
      </c>
      <c r="B270" s="22" t="str">
        <f>Source!F172</f>
        <v>3.27-37-1</v>
      </c>
      <c r="C270" s="22" t="s">
        <v>203</v>
      </c>
      <c r="D270" s="23" t="str">
        <f>Source!H172</f>
        <v>1000 м2 покрытия</v>
      </c>
      <c r="E270" s="24">
        <f>Source!I172</f>
        <v>1.5144</v>
      </c>
      <c r="F270" s="25"/>
      <c r="G270" s="26"/>
      <c r="H270" s="24"/>
      <c r="I270" s="25"/>
      <c r="J270" s="24"/>
      <c r="K270" s="25"/>
      <c r="Q270" s="12">
        <f>ROUND((Source!DN172/100)*ROUND((ROUND((Source!AF172*Source!AV172*Source!I172),2)),2), 2)</f>
        <v>342.22</v>
      </c>
      <c r="R270" s="12">
        <f>Source!X172</f>
        <v>13293.04</v>
      </c>
      <c r="S270" s="12">
        <f>ROUND((Source!DO172/100)*ROUND((ROUND((Source!AF172*Source!AV172*Source!I172),2)),2), 2)</f>
        <v>227.44</v>
      </c>
      <c r="T270" s="12">
        <f>Source!Y172</f>
        <v>5456.1</v>
      </c>
      <c r="U270" s="12">
        <f>ROUND((175/100)*ROUND((ROUND((Source!AE172*Source!AV172*Source!I172),2)),2), 2)</f>
        <v>0</v>
      </c>
      <c r="V270" s="12">
        <f>ROUND((160/100)*ROUND(ROUND((ROUND((Source!AE172*Source!AV172*Source!I172),2)*Source!BS172),2), 2), 2)</f>
        <v>0</v>
      </c>
      <c r="AI270" s="12">
        <v>0</v>
      </c>
    </row>
    <row r="271" spans="1:35">
      <c r="C271" s="27" t="str">
        <f>"Объем: "&amp;Source!I172&amp;"=(1514,4)/"&amp;"1000"</f>
        <v>Объем: 1,5144=(1514,4)/1000</v>
      </c>
    </row>
    <row r="272" spans="1:35" ht="15">
      <c r="A272" s="22"/>
      <c r="B272" s="22"/>
      <c r="C272" s="22" t="s">
        <v>324</v>
      </c>
      <c r="D272" s="23"/>
      <c r="E272" s="24"/>
      <c r="F272" s="25">
        <f>Source!AO172</f>
        <v>134.06</v>
      </c>
      <c r="G272" s="26" t="str">
        <f>Source!DG172</f>
        <v/>
      </c>
      <c r="H272" s="24">
        <f>Source!AV172</f>
        <v>1.0469999999999999</v>
      </c>
      <c r="I272" s="25">
        <f>ROUND((ROUND((Source!AF172*Source!AV172*Source!I172),2)),2)</f>
        <v>212.56</v>
      </c>
      <c r="J272" s="24">
        <f>IF(Source!BA172&lt;&gt; 0, Source!BA172, 1)</f>
        <v>46.67</v>
      </c>
      <c r="K272" s="25">
        <f>Source!S172</f>
        <v>9920.18</v>
      </c>
      <c r="W272" s="12">
        <f>I272</f>
        <v>212.56</v>
      </c>
    </row>
    <row r="273" spans="1:35" ht="30">
      <c r="A273" s="22" t="s">
        <v>208</v>
      </c>
      <c r="B273" s="22" t="str">
        <f>Source!F174</f>
        <v>1.1-1-1824</v>
      </c>
      <c r="C273" s="22" t="s">
        <v>210</v>
      </c>
      <c r="D273" s="23" t="str">
        <f>Source!H174</f>
        <v>м2</v>
      </c>
      <c r="E273" s="24">
        <f>Source!I174</f>
        <v>1514.4</v>
      </c>
      <c r="F273" s="25">
        <f>Source!AK174</f>
        <v>21.14</v>
      </c>
      <c r="G273" s="29" t="s">
        <v>6</v>
      </c>
      <c r="H273" s="24">
        <f>Source!AW174</f>
        <v>1.03</v>
      </c>
      <c r="I273" s="25">
        <f>ROUND((ROUND((Source!AC174*Source!AW174*Source!I174),2)),2)+(ROUND((ROUND(((Source!ET174)*Source!AV174*Source!I174),2)),2)+ROUND((ROUND(((Source!AE174-(Source!EU174))*Source!AV174*Source!I174),2)),2))+ROUND((ROUND((Source!AF174*Source!AV174*Source!I174),2)),2)</f>
        <v>32974.85</v>
      </c>
      <c r="J273" s="24">
        <f>IF(Source!BC174&lt;&gt; 0, Source!BC174, 1)</f>
        <v>7.92</v>
      </c>
      <c r="K273" s="25">
        <f>Source!O174</f>
        <v>261160.81</v>
      </c>
      <c r="Q273" s="12">
        <f>ROUND((Source!DN174/100)*ROUND((ROUND((Source!AF174*Source!AV174*Source!I174),2)),2), 2)</f>
        <v>0</v>
      </c>
      <c r="R273" s="12">
        <f>Source!X174</f>
        <v>0</v>
      </c>
      <c r="S273" s="12">
        <f>ROUND((Source!DO174/100)*ROUND((ROUND((Source!AF174*Source!AV174*Source!I174),2)),2), 2)</f>
        <v>0</v>
      </c>
      <c r="T273" s="12">
        <f>Source!Y174</f>
        <v>0</v>
      </c>
      <c r="U273" s="12">
        <f>ROUND((175/100)*ROUND((ROUND((Source!AE174*Source!AV174*Source!I174),2)),2), 2)</f>
        <v>0</v>
      </c>
      <c r="V273" s="12">
        <f>ROUND((160/100)*ROUND(ROUND((ROUND((Source!AE174*Source!AV174*Source!I174),2)*Source!BS174),2), 2), 2)</f>
        <v>0</v>
      </c>
      <c r="X273" s="12">
        <f>IF(Source!BI174&lt;=1,I273, 0)</f>
        <v>32974.85</v>
      </c>
      <c r="Y273" s="12">
        <f>IF(Source!BI174=2,I273, 0)</f>
        <v>0</v>
      </c>
      <c r="Z273" s="12">
        <f>IF(Source!BI174=3,I273, 0)</f>
        <v>0</v>
      </c>
      <c r="AA273" s="12">
        <f>IF(Source!BI174=4,I273, 0)</f>
        <v>0</v>
      </c>
      <c r="AI273" s="12">
        <v>3</v>
      </c>
    </row>
    <row r="274" spans="1:35" ht="15">
      <c r="A274" s="22"/>
      <c r="B274" s="22"/>
      <c r="C274" s="22" t="s">
        <v>327</v>
      </c>
      <c r="D274" s="23" t="s">
        <v>328</v>
      </c>
      <c r="E274" s="24">
        <f>Source!DN172</f>
        <v>161</v>
      </c>
      <c r="F274" s="25"/>
      <c r="G274" s="26"/>
      <c r="H274" s="24"/>
      <c r="I274" s="25">
        <f>SUM(Q270:Q273)</f>
        <v>342.22</v>
      </c>
      <c r="J274" s="24">
        <f>Source!BZ172</f>
        <v>134</v>
      </c>
      <c r="K274" s="25">
        <f>SUM(R270:R273)</f>
        <v>13293.04</v>
      </c>
    </row>
    <row r="275" spans="1:35" ht="15">
      <c r="A275" s="22"/>
      <c r="B275" s="22"/>
      <c r="C275" s="22" t="s">
        <v>329</v>
      </c>
      <c r="D275" s="23" t="s">
        <v>328</v>
      </c>
      <c r="E275" s="24">
        <f>Source!DO172</f>
        <v>107</v>
      </c>
      <c r="F275" s="25"/>
      <c r="G275" s="26"/>
      <c r="H275" s="24"/>
      <c r="I275" s="25">
        <f>SUM(S270:S274)</f>
        <v>227.44</v>
      </c>
      <c r="J275" s="24">
        <f>Source!CA172</f>
        <v>55</v>
      </c>
      <c r="K275" s="25">
        <f>SUM(T270:T274)</f>
        <v>5456.1</v>
      </c>
    </row>
    <row r="276" spans="1:35" ht="15">
      <c r="A276" s="30"/>
      <c r="B276" s="30"/>
      <c r="C276" s="30" t="s">
        <v>331</v>
      </c>
      <c r="D276" s="31" t="s">
        <v>332</v>
      </c>
      <c r="E276" s="32">
        <f>Source!AQ172</f>
        <v>11.4</v>
      </c>
      <c r="F276" s="33"/>
      <c r="G276" s="34" t="str">
        <f>Source!DI172</f>
        <v/>
      </c>
      <c r="H276" s="32">
        <f>Source!AV172</f>
        <v>1.0469999999999999</v>
      </c>
      <c r="I276" s="33">
        <f>Source!U172</f>
        <v>18.075575520000001</v>
      </c>
      <c r="J276" s="32"/>
      <c r="K276" s="33"/>
      <c r="AB276" s="35">
        <f>I276</f>
        <v>18.075575520000001</v>
      </c>
    </row>
    <row r="277" spans="1:35" ht="14.25">
      <c r="C277" s="16" t="s">
        <v>333</v>
      </c>
      <c r="H277" s="40">
        <f>I272+I274+I275+SUM(I273:I273)-SUMIF(AI273:AI273, 5, I273:I273)-SUMIF(AI273:AI273, 6, I273:I273)</f>
        <v>33757.07</v>
      </c>
      <c r="I277" s="40"/>
      <c r="J277" s="40">
        <f>K272+K274+K275+SUM(K273:K273)-SUMIF(AI273:AI273, 5, K273:K273)-SUMIF(AI273:AI273, 6, K273:K273)</f>
        <v>289830.13</v>
      </c>
      <c r="K277" s="40"/>
    </row>
    <row r="278" spans="1:35" ht="14.25">
      <c r="C278" s="16" t="s">
        <v>334</v>
      </c>
      <c r="H278" s="37">
        <f>SUMIF(AI273:AI273, 5, I273:I273)+SUMIF(AI273:AI273, 6, I273:I273)</f>
        <v>0</v>
      </c>
      <c r="I278" s="37"/>
      <c r="J278" s="37">
        <f>SUMIF(AI273:AI273, 5, K273:K273)+SUMIF(AI273:AI273, 6, K273:K273)</f>
        <v>0</v>
      </c>
      <c r="K278" s="37"/>
    </row>
    <row r="279" spans="1:35" ht="14.25">
      <c r="H279" s="37"/>
      <c r="I279" s="37"/>
      <c r="J279" s="37"/>
      <c r="K279" s="37"/>
      <c r="O279" s="35">
        <f>I272+I274+I275+SUM(I273:I273)</f>
        <v>33757.07</v>
      </c>
      <c r="P279" s="35">
        <f>K272+K274+K275+SUM(K273:K273)</f>
        <v>289830.13</v>
      </c>
      <c r="X279" s="12">
        <f>IF(Source!BI172&lt;=1,I272+I274+I275-0, 0)</f>
        <v>782.22</v>
      </c>
      <c r="Y279" s="12">
        <f>IF(Source!BI172=2,I272+I274+I275-0, 0)</f>
        <v>0</v>
      </c>
      <c r="Z279" s="12">
        <f>IF(Source!BI172=3,I272+I274+I275-0, 0)</f>
        <v>0</v>
      </c>
      <c r="AA279" s="12">
        <f>IF(Source!BI172=4,I272+I274+I275,0)</f>
        <v>0</v>
      </c>
    </row>
    <row r="281" spans="1:35" ht="45">
      <c r="A281" s="22">
        <v>19</v>
      </c>
      <c r="B281" s="22" t="str">
        <f>Source!F180</f>
        <v>3.27-42-1</v>
      </c>
      <c r="C281" s="22" t="s">
        <v>218</v>
      </c>
      <c r="D281" s="23" t="str">
        <f>Source!H180</f>
        <v>100 м2 покрытия</v>
      </c>
      <c r="E281" s="24">
        <f>Source!I180</f>
        <v>15.144</v>
      </c>
      <c r="F281" s="25"/>
      <c r="G281" s="26"/>
      <c r="H281" s="24"/>
      <c r="I281" s="25"/>
      <c r="J281" s="24"/>
      <c r="K281" s="25"/>
      <c r="Q281" s="12">
        <f>ROUND((Source!DN180/100)*ROUND((ROUND((Source!AF180*Source!AV180*Source!I180),2)),2), 2)</f>
        <v>1331.79</v>
      </c>
      <c r="R281" s="12">
        <f>Source!X180</f>
        <v>51731.26</v>
      </c>
      <c r="S281" s="12">
        <f>ROUND((Source!DO180/100)*ROUND((ROUND((Source!AF180*Source!AV180*Source!I180),2)),2), 2)</f>
        <v>885.1</v>
      </c>
      <c r="T281" s="12">
        <f>Source!Y180</f>
        <v>21232.98</v>
      </c>
      <c r="U281" s="12">
        <f>ROUND((175/100)*ROUND((ROUND((Source!AE180*Source!AV180*Source!I180),2)),2), 2)</f>
        <v>1292.48</v>
      </c>
      <c r="V281" s="12">
        <f>ROUND((160/100)*ROUND(ROUND((ROUND((Source!AE180*Source!AV180*Source!I180),2)*Source!BS180),2), 2), 2)</f>
        <v>55149.760000000002</v>
      </c>
      <c r="AI281" s="12">
        <v>0</v>
      </c>
    </row>
    <row r="282" spans="1:35">
      <c r="C282" s="27" t="str">
        <f>"Объем: "&amp;Source!I180&amp;"=(1514,4)/"&amp;"100"</f>
        <v>Объем: 15,144=(1514,4)/100</v>
      </c>
    </row>
    <row r="283" spans="1:35" ht="15">
      <c r="A283" s="22"/>
      <c r="B283" s="22"/>
      <c r="C283" s="22" t="s">
        <v>324</v>
      </c>
      <c r="D283" s="23"/>
      <c r="E283" s="24"/>
      <c r="F283" s="25">
        <f>Source!AO180</f>
        <v>52.17</v>
      </c>
      <c r="G283" s="26" t="str">
        <f>Source!DG180</f>
        <v/>
      </c>
      <c r="H283" s="24">
        <f>Source!AV180</f>
        <v>1.0469999999999999</v>
      </c>
      <c r="I283" s="25">
        <f>ROUND((ROUND((Source!AF180*Source!AV180*Source!I180),2)),2)</f>
        <v>827.2</v>
      </c>
      <c r="J283" s="24">
        <f>IF(Source!BA180&lt;&gt; 0, Source!BA180, 1)</f>
        <v>46.67</v>
      </c>
      <c r="K283" s="25">
        <f>Source!S180</f>
        <v>38605.42</v>
      </c>
      <c r="W283" s="12">
        <f>I283</f>
        <v>827.2</v>
      </c>
    </row>
    <row r="284" spans="1:35" ht="15">
      <c r="A284" s="22"/>
      <c r="B284" s="22"/>
      <c r="C284" s="22" t="s">
        <v>325</v>
      </c>
      <c r="D284" s="23"/>
      <c r="E284" s="24"/>
      <c r="F284" s="25">
        <f>Source!AM180</f>
        <v>532.35</v>
      </c>
      <c r="G284" s="26" t="str">
        <f>Source!DE180</f>
        <v/>
      </c>
      <c r="H284" s="24">
        <f>Source!AV180</f>
        <v>1.0469999999999999</v>
      </c>
      <c r="I284" s="25">
        <f>(ROUND((ROUND(((Source!ET180)*Source!AV180*Source!I180),2)),2)+ROUND((ROUND(((Source!AE180-(Source!EU180))*Source!AV180*Source!I180),2)),2))</f>
        <v>8440.82</v>
      </c>
      <c r="J284" s="24">
        <f>IF(Source!BB180&lt;&gt; 0, Source!BB180, 1)</f>
        <v>13.46</v>
      </c>
      <c r="K284" s="25">
        <f>Source!Q180</f>
        <v>113613.44</v>
      </c>
    </row>
    <row r="285" spans="1:35" ht="15">
      <c r="A285" s="22"/>
      <c r="B285" s="22"/>
      <c r="C285" s="22" t="s">
        <v>326</v>
      </c>
      <c r="D285" s="23"/>
      <c r="E285" s="24"/>
      <c r="F285" s="25">
        <f>Source!AN180</f>
        <v>46.58</v>
      </c>
      <c r="G285" s="26" t="str">
        <f>Source!DF180</f>
        <v/>
      </c>
      <c r="H285" s="24">
        <f>Source!AV180</f>
        <v>1.0469999999999999</v>
      </c>
      <c r="I285" s="28">
        <f>ROUND((ROUND((Source!AE180*Source!AV180*Source!I180),2)),2)</f>
        <v>738.56</v>
      </c>
      <c r="J285" s="24">
        <f>IF(Source!BS180&lt;&gt; 0, Source!BS180, 1)</f>
        <v>46.67</v>
      </c>
      <c r="K285" s="28">
        <f>Source!R180</f>
        <v>34468.6</v>
      </c>
      <c r="W285" s="12">
        <f>I285</f>
        <v>738.56</v>
      </c>
    </row>
    <row r="286" spans="1:35" ht="15">
      <c r="A286" s="22"/>
      <c r="B286" s="22"/>
      <c r="C286" s="22" t="s">
        <v>335</v>
      </c>
      <c r="D286" s="23"/>
      <c r="E286" s="24"/>
      <c r="F286" s="25">
        <f>Source!AL180</f>
        <v>57.83</v>
      </c>
      <c r="G286" s="26" t="str">
        <f>Source!DD180</f>
        <v/>
      </c>
      <c r="H286" s="24">
        <f>Source!AW180</f>
        <v>1</v>
      </c>
      <c r="I286" s="25">
        <f>ROUND((ROUND((Source!AC180*Source!AW180*Source!I180),2)),2)</f>
        <v>875.78</v>
      </c>
      <c r="J286" s="24">
        <f>IF(Source!BC180&lt;&gt; 0, Source!BC180, 1)</f>
        <v>16.29</v>
      </c>
      <c r="K286" s="25">
        <f>Source!P180</f>
        <v>14266.46</v>
      </c>
    </row>
    <row r="287" spans="1:35" ht="30">
      <c r="A287" s="22" t="s">
        <v>223</v>
      </c>
      <c r="B287" s="22" t="str">
        <f>Source!F182</f>
        <v>1.3-3-4</v>
      </c>
      <c r="C287" s="22" t="s">
        <v>225</v>
      </c>
      <c r="D287" s="23" t="str">
        <f>Source!H182</f>
        <v>т</v>
      </c>
      <c r="E287" s="24">
        <f>Source!I182</f>
        <v>145.07952</v>
      </c>
      <c r="F287" s="25">
        <f>Source!AK182</f>
        <v>305.75</v>
      </c>
      <c r="G287" s="29" t="s">
        <v>6</v>
      </c>
      <c r="H287" s="24">
        <f>Source!AW182</f>
        <v>1</v>
      </c>
      <c r="I287" s="25">
        <f>ROUND((ROUND((Source!AC182*Source!AW182*Source!I182),2)),2)+(ROUND((ROUND(((Source!ET182)*Source!AV182*Source!I182),2)),2)+ROUND((ROUND(((Source!AE182-(Source!EU182))*Source!AV182*Source!I182),2)),2))+ROUND((ROUND((Source!AF182*Source!AV182*Source!I182),2)),2)</f>
        <v>44358.06</v>
      </c>
      <c r="J287" s="24">
        <f>IF(Source!BC182&lt;&gt; 0, Source!BC182, 1)</f>
        <v>14.4</v>
      </c>
      <c r="K287" s="25">
        <f>Source!O182</f>
        <v>638756.06000000006</v>
      </c>
      <c r="Q287" s="12">
        <f>ROUND((Source!DN182/100)*ROUND((ROUND((Source!AF182*Source!AV182*Source!I182),2)),2), 2)</f>
        <v>0</v>
      </c>
      <c r="R287" s="12">
        <f>Source!X182</f>
        <v>0</v>
      </c>
      <c r="S287" s="12">
        <f>ROUND((Source!DO182/100)*ROUND((ROUND((Source!AF182*Source!AV182*Source!I182),2)),2), 2)</f>
        <v>0</v>
      </c>
      <c r="T287" s="12">
        <f>Source!Y182</f>
        <v>0</v>
      </c>
      <c r="U287" s="12">
        <f>ROUND((175/100)*ROUND((ROUND((Source!AE182*Source!AV182*Source!I182),2)),2), 2)</f>
        <v>0</v>
      </c>
      <c r="V287" s="12">
        <f>ROUND((160/100)*ROUND(ROUND((ROUND((Source!AE182*Source!AV182*Source!I182),2)*Source!BS182),2), 2), 2)</f>
        <v>0</v>
      </c>
      <c r="X287" s="12">
        <f>IF(Source!BI182&lt;=1,I287, 0)</f>
        <v>44358.06</v>
      </c>
      <c r="Y287" s="12">
        <f>IF(Source!BI182=2,I287, 0)</f>
        <v>0</v>
      </c>
      <c r="Z287" s="12">
        <f>IF(Source!BI182=3,I287, 0)</f>
        <v>0</v>
      </c>
      <c r="AA287" s="12">
        <f>IF(Source!BI182=4,I287, 0)</f>
        <v>0</v>
      </c>
      <c r="AI287" s="12">
        <v>3</v>
      </c>
    </row>
    <row r="288" spans="1:35" ht="15">
      <c r="A288" s="22"/>
      <c r="B288" s="22"/>
      <c r="C288" s="22" t="s">
        <v>327</v>
      </c>
      <c r="D288" s="23" t="s">
        <v>328</v>
      </c>
      <c r="E288" s="24">
        <f>Source!DN180</f>
        <v>161</v>
      </c>
      <c r="F288" s="25"/>
      <c r="G288" s="26"/>
      <c r="H288" s="24"/>
      <c r="I288" s="25">
        <f>SUM(Q281:Q287)</f>
        <v>1331.79</v>
      </c>
      <c r="J288" s="24">
        <f>Source!BZ180</f>
        <v>134</v>
      </c>
      <c r="K288" s="25">
        <f>SUM(R281:R287)</f>
        <v>51731.26</v>
      </c>
    </row>
    <row r="289" spans="1:35" ht="15">
      <c r="A289" s="22"/>
      <c r="B289" s="22"/>
      <c r="C289" s="22" t="s">
        <v>329</v>
      </c>
      <c r="D289" s="23" t="s">
        <v>328</v>
      </c>
      <c r="E289" s="24">
        <f>Source!DO180</f>
        <v>107</v>
      </c>
      <c r="F289" s="25"/>
      <c r="G289" s="26"/>
      <c r="H289" s="24"/>
      <c r="I289" s="25">
        <f>SUM(S281:S288)</f>
        <v>885.1</v>
      </c>
      <c r="J289" s="24">
        <f>Source!CA180</f>
        <v>55</v>
      </c>
      <c r="K289" s="25">
        <f>SUM(T281:T288)</f>
        <v>21232.98</v>
      </c>
    </row>
    <row r="290" spans="1:35" ht="15">
      <c r="A290" s="22"/>
      <c r="B290" s="22"/>
      <c r="C290" s="22" t="s">
        <v>330</v>
      </c>
      <c r="D290" s="23" t="s">
        <v>328</v>
      </c>
      <c r="E290" s="24">
        <f>175</f>
        <v>175</v>
      </c>
      <c r="F290" s="25"/>
      <c r="G290" s="26"/>
      <c r="H290" s="24"/>
      <c r="I290" s="25">
        <f>SUM(U281:U289)</f>
        <v>1292.48</v>
      </c>
      <c r="J290" s="24">
        <f>160</f>
        <v>160</v>
      </c>
      <c r="K290" s="25">
        <f>SUM(V281:V289)</f>
        <v>55149.760000000002</v>
      </c>
    </row>
    <row r="291" spans="1:35" ht="15">
      <c r="A291" s="30"/>
      <c r="B291" s="30"/>
      <c r="C291" s="30" t="s">
        <v>331</v>
      </c>
      <c r="D291" s="31" t="s">
        <v>332</v>
      </c>
      <c r="E291" s="32">
        <f>Source!AQ180</f>
        <v>4.29</v>
      </c>
      <c r="F291" s="33"/>
      <c r="G291" s="34" t="str">
        <f>Source!DI180</f>
        <v/>
      </c>
      <c r="H291" s="32">
        <f>Source!AV180</f>
        <v>1.0469999999999999</v>
      </c>
      <c r="I291" s="33">
        <f>Source!U180</f>
        <v>68.021244719999999</v>
      </c>
      <c r="J291" s="32"/>
      <c r="K291" s="33"/>
      <c r="AB291" s="35">
        <f>I291</f>
        <v>68.021244719999999</v>
      </c>
    </row>
    <row r="292" spans="1:35" ht="14.25">
      <c r="C292" s="16" t="s">
        <v>333</v>
      </c>
      <c r="H292" s="40">
        <f>I283+I284+I286+I288+I289+I290+SUM(I287:I287)-SUMIF(AI287:AI287, 5, I287:I287)-SUMIF(AI287:AI287, 6, I287:I287)</f>
        <v>58011.229999999996</v>
      </c>
      <c r="I292" s="40"/>
      <c r="J292" s="40">
        <f>K283+K284+K286+K288+K289+K290+SUM(K287:K287)-SUMIF(AI287:AI287, 5, K287:K287)-SUMIF(AI287:AI287, 6, K287:K287)</f>
        <v>933355.38000000012</v>
      </c>
      <c r="K292" s="40"/>
    </row>
    <row r="293" spans="1:35" ht="14.25">
      <c r="C293" s="16" t="s">
        <v>334</v>
      </c>
      <c r="H293" s="37">
        <f>SUMIF(AI287:AI287, 5, I287:I287)+SUMIF(AI287:AI287, 6, I287:I287)</f>
        <v>0</v>
      </c>
      <c r="I293" s="37"/>
      <c r="J293" s="37">
        <f>SUMIF(AI287:AI287, 5, K287:K287)+SUMIF(AI287:AI287, 6, K287:K287)</f>
        <v>0</v>
      </c>
      <c r="K293" s="37"/>
    </row>
    <row r="294" spans="1:35" ht="14.25">
      <c r="H294" s="37"/>
      <c r="I294" s="37"/>
      <c r="J294" s="37"/>
      <c r="K294" s="37"/>
      <c r="O294" s="35">
        <f>I283+I284+I286+I288+I289+I290+SUM(I287:I287)</f>
        <v>58011.229999999996</v>
      </c>
      <c r="P294" s="35">
        <f>K283+K284+K286+K288+K289+K290+SUM(K287:K287)</f>
        <v>933355.38000000012</v>
      </c>
      <c r="X294" s="12">
        <f>IF(Source!BI180&lt;=1,I283+I284+I286+I288+I289+I290-0, 0)</f>
        <v>13653.17</v>
      </c>
      <c r="Y294" s="12">
        <f>IF(Source!BI180=2,I283+I284+I286+I288+I289+I290-0, 0)</f>
        <v>0</v>
      </c>
      <c r="Z294" s="12">
        <f>IF(Source!BI180=3,I283+I284+I286+I288+I289+I290-0, 0)</f>
        <v>0</v>
      </c>
      <c r="AA294" s="12">
        <f>IF(Source!BI180=4,I283+I284+I286+I288+I289+I290,0)</f>
        <v>0</v>
      </c>
    </row>
    <row r="296" spans="1:35" ht="45">
      <c r="A296" s="22">
        <v>20</v>
      </c>
      <c r="B296" s="22" t="str">
        <f>Source!F184</f>
        <v>3.27-43-1</v>
      </c>
      <c r="C296" s="22" t="s">
        <v>230</v>
      </c>
      <c r="D296" s="23" t="str">
        <f>Source!H184</f>
        <v>100 м2 покрытия</v>
      </c>
      <c r="E296" s="24">
        <f>Source!I184</f>
        <v>15.144</v>
      </c>
      <c r="F296" s="25"/>
      <c r="G296" s="26"/>
      <c r="H296" s="24"/>
      <c r="I296" s="25"/>
      <c r="J296" s="24"/>
      <c r="K296" s="25"/>
      <c r="Q296" s="12">
        <f>ROUND((Source!DN184/100)*ROUND((ROUND((Source!AF184*Source!AV184*Source!I184),2)),2), 2)</f>
        <v>353.81</v>
      </c>
      <c r="R296" s="12">
        <f>Source!X184</f>
        <v>13743.31</v>
      </c>
      <c r="S296" s="12">
        <f>ROUND((Source!DO184/100)*ROUND((ROUND((Source!AF184*Source!AV184*Source!I184),2)),2), 2)</f>
        <v>235.14</v>
      </c>
      <c r="T296" s="12">
        <f>Source!Y184</f>
        <v>5640.91</v>
      </c>
      <c r="U296" s="12">
        <f>ROUND((175/100)*ROUND((ROUND((Source!AE184*Source!AV184*Source!I184),2)),2), 2)</f>
        <v>120.98</v>
      </c>
      <c r="V296" s="12">
        <f>ROUND((160/100)*ROUND(ROUND((ROUND((Source!AE184*Source!AV184*Source!I184),2)*Source!BS184),2), 2), 2)</f>
        <v>5162.08</v>
      </c>
      <c r="AI296" s="12">
        <v>0</v>
      </c>
    </row>
    <row r="297" spans="1:35" ht="15">
      <c r="A297" s="22"/>
      <c r="B297" s="22"/>
      <c r="C297" s="22" t="s">
        <v>324</v>
      </c>
      <c r="D297" s="23"/>
      <c r="E297" s="24"/>
      <c r="F297" s="25">
        <f>Source!AO184</f>
        <v>6.93</v>
      </c>
      <c r="G297" s="26" t="str">
        <f>Source!DG184</f>
        <v>)*2</v>
      </c>
      <c r="H297" s="24">
        <f>Source!AV184</f>
        <v>1.0469999999999999</v>
      </c>
      <c r="I297" s="25">
        <f>ROUND((ROUND((Source!AF184*Source!AV184*Source!I184),2)),2)</f>
        <v>219.76</v>
      </c>
      <c r="J297" s="24">
        <f>IF(Source!BA184&lt;&gt; 0, Source!BA184, 1)</f>
        <v>46.67</v>
      </c>
      <c r="K297" s="25">
        <f>Source!S184</f>
        <v>10256.200000000001</v>
      </c>
      <c r="W297" s="12">
        <f>I297</f>
        <v>219.76</v>
      </c>
    </row>
    <row r="298" spans="1:35" ht="15">
      <c r="A298" s="22"/>
      <c r="B298" s="22"/>
      <c r="C298" s="22" t="s">
        <v>325</v>
      </c>
      <c r="D298" s="23"/>
      <c r="E298" s="24"/>
      <c r="F298" s="25">
        <f>Source!AM184</f>
        <v>32.840000000000003</v>
      </c>
      <c r="G298" s="26" t="str">
        <f>Source!DE184</f>
        <v>)*2</v>
      </c>
      <c r="H298" s="24">
        <f>Source!AV184</f>
        <v>1.0469999999999999</v>
      </c>
      <c r="I298" s="25">
        <f>(ROUND((ROUND((((Source!ET184*2))*Source!AV184*Source!I184),2)),2)+ROUND((ROUND(((Source!AE184-((Source!EU184*2)))*Source!AV184*Source!I184),2)),2))</f>
        <v>1041.4100000000001</v>
      </c>
      <c r="J298" s="24">
        <f>IF(Source!BB184&lt;&gt; 0, Source!BB184, 1)</f>
        <v>13.04</v>
      </c>
      <c r="K298" s="25">
        <f>Source!Q184</f>
        <v>13579.99</v>
      </c>
    </row>
    <row r="299" spans="1:35" ht="15">
      <c r="A299" s="22"/>
      <c r="B299" s="22"/>
      <c r="C299" s="22" t="s">
        <v>326</v>
      </c>
      <c r="D299" s="23"/>
      <c r="E299" s="24"/>
      <c r="F299" s="25">
        <f>Source!AN184</f>
        <v>2.1800000000000002</v>
      </c>
      <c r="G299" s="26" t="str">
        <f>Source!DF184</f>
        <v>)*2</v>
      </c>
      <c r="H299" s="24">
        <f>Source!AV184</f>
        <v>1.0469999999999999</v>
      </c>
      <c r="I299" s="28">
        <f>ROUND((ROUND((Source!AE184*Source!AV184*Source!I184),2)),2)</f>
        <v>69.13</v>
      </c>
      <c r="J299" s="24">
        <f>IF(Source!BS184&lt;&gt; 0, Source!BS184, 1)</f>
        <v>46.67</v>
      </c>
      <c r="K299" s="28">
        <f>Source!R184</f>
        <v>3226.3</v>
      </c>
      <c r="W299" s="12">
        <f>I299</f>
        <v>69.13</v>
      </c>
    </row>
    <row r="300" spans="1:35" ht="30">
      <c r="A300" s="22" t="s">
        <v>233</v>
      </c>
      <c r="B300" s="22" t="str">
        <f>Source!F186</f>
        <v>1.3-3-12</v>
      </c>
      <c r="C300" s="22" t="s">
        <v>235</v>
      </c>
      <c r="D300" s="23" t="str">
        <f>Source!H186</f>
        <v>т</v>
      </c>
      <c r="E300" s="24">
        <f>Source!I186</f>
        <v>72.691199999999995</v>
      </c>
      <c r="F300" s="25">
        <f>Source!AK186</f>
        <v>297.48</v>
      </c>
      <c r="G300" s="29" t="s">
        <v>6</v>
      </c>
      <c r="H300" s="24">
        <f>Source!AW186</f>
        <v>1</v>
      </c>
      <c r="I300" s="25">
        <f>ROUND((ROUND((Source!AC186*Source!AW186*Source!I186),2)),2)+(ROUND((ROUND(((Source!ET186)*Source!AV186*Source!I186),2)),2)+ROUND((ROUND(((Source!AE186-(Source!EU186))*Source!AV186*Source!I186),2)),2))+ROUND((ROUND((Source!AF186*Source!AV186*Source!I186),2)),2)</f>
        <v>21624.18</v>
      </c>
      <c r="J300" s="24">
        <f>IF(Source!BC186&lt;&gt; 0, Source!BC186, 1)</f>
        <v>14.8</v>
      </c>
      <c r="K300" s="25">
        <f>Source!O186</f>
        <v>320037.86</v>
      </c>
      <c r="Q300" s="12">
        <f>ROUND((Source!DN186/100)*ROUND((ROUND((Source!AF186*Source!AV186*Source!I186),2)),2), 2)</f>
        <v>0</v>
      </c>
      <c r="R300" s="12">
        <f>Source!X186</f>
        <v>0</v>
      </c>
      <c r="S300" s="12">
        <f>ROUND((Source!DO186/100)*ROUND((ROUND((Source!AF186*Source!AV186*Source!I186),2)),2), 2)</f>
        <v>0</v>
      </c>
      <c r="T300" s="12">
        <f>Source!Y186</f>
        <v>0</v>
      </c>
      <c r="U300" s="12">
        <f>ROUND((175/100)*ROUND((ROUND((Source!AE186*Source!AV186*Source!I186),2)),2), 2)</f>
        <v>0</v>
      </c>
      <c r="V300" s="12">
        <f>ROUND((160/100)*ROUND(ROUND((ROUND((Source!AE186*Source!AV186*Source!I186),2)*Source!BS186),2), 2), 2)</f>
        <v>0</v>
      </c>
      <c r="X300" s="12">
        <f>IF(Source!BI186&lt;=1,I300, 0)</f>
        <v>21624.18</v>
      </c>
      <c r="Y300" s="12">
        <f>IF(Source!BI186=2,I300, 0)</f>
        <v>0</v>
      </c>
      <c r="Z300" s="12">
        <f>IF(Source!BI186=3,I300, 0)</f>
        <v>0</v>
      </c>
      <c r="AA300" s="12">
        <f>IF(Source!BI186=4,I300, 0)</f>
        <v>0</v>
      </c>
      <c r="AI300" s="12">
        <v>3</v>
      </c>
    </row>
    <row r="301" spans="1:35" ht="15">
      <c r="A301" s="22"/>
      <c r="B301" s="22"/>
      <c r="C301" s="22" t="s">
        <v>327</v>
      </c>
      <c r="D301" s="23" t="s">
        <v>328</v>
      </c>
      <c r="E301" s="24">
        <f>Source!DN184</f>
        <v>161</v>
      </c>
      <c r="F301" s="25"/>
      <c r="G301" s="26"/>
      <c r="H301" s="24"/>
      <c r="I301" s="25">
        <f>SUM(Q296:Q300)</f>
        <v>353.81</v>
      </c>
      <c r="J301" s="24">
        <f>Source!BZ184</f>
        <v>134</v>
      </c>
      <c r="K301" s="25">
        <f>SUM(R296:R300)</f>
        <v>13743.31</v>
      </c>
    </row>
    <row r="302" spans="1:35" ht="15">
      <c r="A302" s="22"/>
      <c r="B302" s="22"/>
      <c r="C302" s="22" t="s">
        <v>329</v>
      </c>
      <c r="D302" s="23" t="s">
        <v>328</v>
      </c>
      <c r="E302" s="24">
        <f>Source!DO184</f>
        <v>107</v>
      </c>
      <c r="F302" s="25"/>
      <c r="G302" s="26"/>
      <c r="H302" s="24"/>
      <c r="I302" s="25">
        <f>SUM(S296:S301)</f>
        <v>235.14</v>
      </c>
      <c r="J302" s="24">
        <f>Source!CA184</f>
        <v>55</v>
      </c>
      <c r="K302" s="25">
        <f>SUM(T296:T301)</f>
        <v>5640.91</v>
      </c>
    </row>
    <row r="303" spans="1:35" ht="15">
      <c r="A303" s="22"/>
      <c r="B303" s="22"/>
      <c r="C303" s="22" t="s">
        <v>330</v>
      </c>
      <c r="D303" s="23" t="s">
        <v>328</v>
      </c>
      <c r="E303" s="24">
        <f>175</f>
        <v>175</v>
      </c>
      <c r="F303" s="25"/>
      <c r="G303" s="26"/>
      <c r="H303" s="24"/>
      <c r="I303" s="25">
        <f>SUM(U296:U302)</f>
        <v>120.98</v>
      </c>
      <c r="J303" s="24">
        <f>160</f>
        <v>160</v>
      </c>
      <c r="K303" s="25">
        <f>SUM(V296:V302)</f>
        <v>5162.08</v>
      </c>
    </row>
    <row r="304" spans="1:35" ht="15">
      <c r="A304" s="30"/>
      <c r="B304" s="30"/>
      <c r="C304" s="30" t="s">
        <v>331</v>
      </c>
      <c r="D304" s="31" t="s">
        <v>332</v>
      </c>
      <c r="E304" s="32">
        <f>Source!AQ184</f>
        <v>0.53</v>
      </c>
      <c r="F304" s="33"/>
      <c r="G304" s="34" t="str">
        <f>Source!DI184</f>
        <v>)*2</v>
      </c>
      <c r="H304" s="32">
        <f>Source!AV184</f>
        <v>1.0469999999999999</v>
      </c>
      <c r="I304" s="33">
        <f>Source!U184</f>
        <v>16.807114080000002</v>
      </c>
      <c r="J304" s="32"/>
      <c r="K304" s="33"/>
      <c r="AB304" s="35">
        <f>I304</f>
        <v>16.807114080000002</v>
      </c>
    </row>
    <row r="305" spans="1:35" ht="14.25">
      <c r="C305" s="16" t="s">
        <v>333</v>
      </c>
      <c r="H305" s="40">
        <f>I297+I298+I301+I302+I303+SUM(I300:I300)-SUMIF(AI300:AI300, 5, I300:I300)-SUMIF(AI300:AI300, 6, I300:I300)</f>
        <v>23595.279999999999</v>
      </c>
      <c r="I305" s="40"/>
      <c r="J305" s="40">
        <f>K297+K298+K301+K302+K303+SUM(K300:K300)-SUMIF(AI300:AI300, 5, K300:K300)-SUMIF(AI300:AI300, 6, K300:K300)</f>
        <v>368420.35</v>
      </c>
      <c r="K305" s="40"/>
    </row>
    <row r="306" spans="1:35" ht="14.25">
      <c r="C306" s="16" t="s">
        <v>334</v>
      </c>
      <c r="H306" s="37">
        <f>SUMIF(AI300:AI300, 5, I300:I300)+SUMIF(AI300:AI300, 6, I300:I300)</f>
        <v>0</v>
      </c>
      <c r="I306" s="37"/>
      <c r="J306" s="37">
        <f>SUMIF(AI300:AI300, 5, K300:K300)+SUMIF(AI300:AI300, 6, K300:K300)</f>
        <v>0</v>
      </c>
      <c r="K306" s="37"/>
    </row>
    <row r="307" spans="1:35" ht="14.25">
      <c r="H307" s="37"/>
      <c r="I307" s="37"/>
      <c r="J307" s="37"/>
      <c r="K307" s="37"/>
      <c r="O307" s="35">
        <f>I297+I298+I301+I302+I303+SUM(I300:I300)</f>
        <v>23595.279999999999</v>
      </c>
      <c r="P307" s="35">
        <f>K297+K298+K301+K302+K303+SUM(K300:K300)</f>
        <v>368420.35</v>
      </c>
      <c r="X307" s="12">
        <f>IF(Source!BI184&lt;=1,I297+I298+I301+I302+I303-0, 0)</f>
        <v>1971.1</v>
      </c>
      <c r="Y307" s="12">
        <f>IF(Source!BI184=2,I297+I298+I301+I302+I303-0, 0)</f>
        <v>0</v>
      </c>
      <c r="Z307" s="12">
        <f>IF(Source!BI184=3,I297+I298+I301+I302+I303-0, 0)</f>
        <v>0</v>
      </c>
      <c r="AA307" s="12">
        <f>IF(Source!BI184=4,I297+I298+I301+I302+I303,0)</f>
        <v>0</v>
      </c>
    </row>
    <row r="309" spans="1:35" ht="45">
      <c r="A309" s="22">
        <v>21</v>
      </c>
      <c r="B309" s="22" t="str">
        <f>Source!F188</f>
        <v>3.27-42-1</v>
      </c>
      <c r="C309" s="22" t="s">
        <v>218</v>
      </c>
      <c r="D309" s="23" t="str">
        <f>Source!H188</f>
        <v>100 м2 покрытия</v>
      </c>
      <c r="E309" s="24">
        <f>Source!I188</f>
        <v>15.144</v>
      </c>
      <c r="F309" s="25"/>
      <c r="G309" s="26"/>
      <c r="H309" s="24"/>
      <c r="I309" s="25"/>
      <c r="J309" s="24"/>
      <c r="K309" s="25"/>
      <c r="Q309" s="12">
        <f>ROUND((Source!DN188/100)*ROUND((ROUND((Source!AF188*Source!AV188*Source!I188),2)),2), 2)</f>
        <v>1331.79</v>
      </c>
      <c r="R309" s="12">
        <f>Source!X188</f>
        <v>51731.26</v>
      </c>
      <c r="S309" s="12">
        <f>ROUND((Source!DO188/100)*ROUND((ROUND((Source!AF188*Source!AV188*Source!I188),2)),2), 2)</f>
        <v>885.1</v>
      </c>
      <c r="T309" s="12">
        <f>Source!Y188</f>
        <v>21232.98</v>
      </c>
      <c r="U309" s="12">
        <f>ROUND((175/100)*ROUND((ROUND((Source!AE188*Source!AV188*Source!I188),2)),2), 2)</f>
        <v>1292.48</v>
      </c>
      <c r="V309" s="12">
        <f>ROUND((160/100)*ROUND(ROUND((ROUND((Source!AE188*Source!AV188*Source!I188),2)*Source!BS188),2), 2), 2)</f>
        <v>55149.760000000002</v>
      </c>
      <c r="AI309" s="12">
        <v>0</v>
      </c>
    </row>
    <row r="310" spans="1:35">
      <c r="C310" s="27" t="str">
        <f>"Объем: "&amp;Source!I188&amp;"=(1514,4)/"&amp;"100"</f>
        <v>Объем: 15,144=(1514,4)/100</v>
      </c>
    </row>
    <row r="311" spans="1:35" ht="15">
      <c r="A311" s="22"/>
      <c r="B311" s="22"/>
      <c r="C311" s="22" t="s">
        <v>324</v>
      </c>
      <c r="D311" s="23"/>
      <c r="E311" s="24"/>
      <c r="F311" s="25">
        <f>Source!AO188</f>
        <v>52.17</v>
      </c>
      <c r="G311" s="26" t="str">
        <f>Source!DG188</f>
        <v/>
      </c>
      <c r="H311" s="24">
        <f>Source!AV188</f>
        <v>1.0469999999999999</v>
      </c>
      <c r="I311" s="25">
        <f>ROUND((ROUND((Source!AF188*Source!AV188*Source!I188),2)),2)</f>
        <v>827.2</v>
      </c>
      <c r="J311" s="24">
        <f>IF(Source!BA188&lt;&gt; 0, Source!BA188, 1)</f>
        <v>46.67</v>
      </c>
      <c r="K311" s="25">
        <f>Source!S188</f>
        <v>38605.42</v>
      </c>
      <c r="W311" s="12">
        <f>I311</f>
        <v>827.2</v>
      </c>
    </row>
    <row r="312" spans="1:35" ht="15">
      <c r="A312" s="22"/>
      <c r="B312" s="22"/>
      <c r="C312" s="22" t="s">
        <v>325</v>
      </c>
      <c r="D312" s="23"/>
      <c r="E312" s="24"/>
      <c r="F312" s="25">
        <f>Source!AM188</f>
        <v>532.35</v>
      </c>
      <c r="G312" s="26" t="str">
        <f>Source!DE188</f>
        <v/>
      </c>
      <c r="H312" s="24">
        <f>Source!AV188</f>
        <v>1.0469999999999999</v>
      </c>
      <c r="I312" s="25">
        <f>(ROUND((ROUND(((Source!ET188)*Source!AV188*Source!I188),2)),2)+ROUND((ROUND(((Source!AE188-(Source!EU188))*Source!AV188*Source!I188),2)),2))</f>
        <v>8440.82</v>
      </c>
      <c r="J312" s="24">
        <f>IF(Source!BB188&lt;&gt; 0, Source!BB188, 1)</f>
        <v>13.46</v>
      </c>
      <c r="K312" s="25">
        <f>Source!Q188</f>
        <v>113613.44</v>
      </c>
    </row>
    <row r="313" spans="1:35" ht="15">
      <c r="A313" s="22"/>
      <c r="B313" s="22"/>
      <c r="C313" s="22" t="s">
        <v>326</v>
      </c>
      <c r="D313" s="23"/>
      <c r="E313" s="24"/>
      <c r="F313" s="25">
        <f>Source!AN188</f>
        <v>46.58</v>
      </c>
      <c r="G313" s="26" t="str">
        <f>Source!DF188</f>
        <v/>
      </c>
      <c r="H313" s="24">
        <f>Source!AV188</f>
        <v>1.0469999999999999</v>
      </c>
      <c r="I313" s="28">
        <f>ROUND((ROUND((Source!AE188*Source!AV188*Source!I188),2)),2)</f>
        <v>738.56</v>
      </c>
      <c r="J313" s="24">
        <f>IF(Source!BS188&lt;&gt; 0, Source!BS188, 1)</f>
        <v>46.67</v>
      </c>
      <c r="K313" s="28">
        <f>Source!R188</f>
        <v>34468.6</v>
      </c>
      <c r="W313" s="12">
        <f>I313</f>
        <v>738.56</v>
      </c>
    </row>
    <row r="314" spans="1:35" ht="15">
      <c r="A314" s="22"/>
      <c r="B314" s="22"/>
      <c r="C314" s="22" t="s">
        <v>335</v>
      </c>
      <c r="D314" s="23"/>
      <c r="E314" s="24"/>
      <c r="F314" s="25">
        <f>Source!AL188</f>
        <v>57.83</v>
      </c>
      <c r="G314" s="26" t="str">
        <f>Source!DD188</f>
        <v/>
      </c>
      <c r="H314" s="24">
        <f>Source!AW188</f>
        <v>1</v>
      </c>
      <c r="I314" s="25">
        <f>ROUND((ROUND((Source!AC188*Source!AW188*Source!I188),2)),2)</f>
        <v>875.78</v>
      </c>
      <c r="J314" s="24">
        <f>IF(Source!BC188&lt;&gt; 0, Source!BC188, 1)</f>
        <v>16.29</v>
      </c>
      <c r="K314" s="25">
        <f>Source!P188</f>
        <v>14266.46</v>
      </c>
    </row>
    <row r="315" spans="1:35" ht="30">
      <c r="A315" s="22" t="s">
        <v>238</v>
      </c>
      <c r="B315" s="22" t="str">
        <f>Source!F190</f>
        <v>1.3-3-9</v>
      </c>
      <c r="C315" s="22" t="s">
        <v>240</v>
      </c>
      <c r="D315" s="23" t="str">
        <f>Source!H190</f>
        <v>т</v>
      </c>
      <c r="E315" s="24">
        <f>Source!I190</f>
        <v>146.29104000000001</v>
      </c>
      <c r="F315" s="25">
        <f>Source!AK190</f>
        <v>317.29000000000002</v>
      </c>
      <c r="G315" s="29" t="s">
        <v>6</v>
      </c>
      <c r="H315" s="24">
        <f>Source!AW190</f>
        <v>1</v>
      </c>
      <c r="I315" s="25">
        <f>ROUND((ROUND((Source!AC190*Source!AW190*Source!I190),2)),2)+(ROUND((ROUND(((Source!ET190)*Source!AV190*Source!I190),2)),2)+ROUND((ROUND(((Source!AE190-(Source!EU190))*Source!AV190*Source!I190),2)),2))+ROUND((ROUND((Source!AF190*Source!AV190*Source!I190),2)),2)</f>
        <v>46416.68</v>
      </c>
      <c r="J315" s="24">
        <f>IF(Source!BC190&lt;&gt; 0, Source!BC190, 1)</f>
        <v>14.14</v>
      </c>
      <c r="K315" s="25">
        <f>Source!O190</f>
        <v>656331.86</v>
      </c>
      <c r="Q315" s="12">
        <f>ROUND((Source!DN190/100)*ROUND((ROUND((Source!AF190*Source!AV190*Source!I190),2)),2), 2)</f>
        <v>0</v>
      </c>
      <c r="R315" s="12">
        <f>Source!X190</f>
        <v>0</v>
      </c>
      <c r="S315" s="12">
        <f>ROUND((Source!DO190/100)*ROUND((ROUND((Source!AF190*Source!AV190*Source!I190),2)),2), 2)</f>
        <v>0</v>
      </c>
      <c r="T315" s="12">
        <f>Source!Y190</f>
        <v>0</v>
      </c>
      <c r="U315" s="12">
        <f>ROUND((175/100)*ROUND((ROUND((Source!AE190*Source!AV190*Source!I190),2)),2), 2)</f>
        <v>0</v>
      </c>
      <c r="V315" s="12">
        <f>ROUND((160/100)*ROUND(ROUND((ROUND((Source!AE190*Source!AV190*Source!I190),2)*Source!BS190),2), 2), 2)</f>
        <v>0</v>
      </c>
      <c r="X315" s="12">
        <f>IF(Source!BI190&lt;=1,I315, 0)</f>
        <v>46416.68</v>
      </c>
      <c r="Y315" s="12">
        <f>IF(Source!BI190=2,I315, 0)</f>
        <v>0</v>
      </c>
      <c r="Z315" s="12">
        <f>IF(Source!BI190=3,I315, 0)</f>
        <v>0</v>
      </c>
      <c r="AA315" s="12">
        <f>IF(Source!BI190=4,I315, 0)</f>
        <v>0</v>
      </c>
      <c r="AI315" s="12">
        <v>3</v>
      </c>
    </row>
    <row r="316" spans="1:35" ht="15">
      <c r="A316" s="22"/>
      <c r="B316" s="22"/>
      <c r="C316" s="22" t="s">
        <v>327</v>
      </c>
      <c r="D316" s="23" t="s">
        <v>328</v>
      </c>
      <c r="E316" s="24">
        <f>Source!DN188</f>
        <v>161</v>
      </c>
      <c r="F316" s="25"/>
      <c r="G316" s="26"/>
      <c r="H316" s="24"/>
      <c r="I316" s="25">
        <f>SUM(Q309:Q315)</f>
        <v>1331.79</v>
      </c>
      <c r="J316" s="24">
        <f>Source!BZ188</f>
        <v>134</v>
      </c>
      <c r="K316" s="25">
        <f>SUM(R309:R315)</f>
        <v>51731.26</v>
      </c>
    </row>
    <row r="317" spans="1:35" ht="15">
      <c r="A317" s="22"/>
      <c r="B317" s="22"/>
      <c r="C317" s="22" t="s">
        <v>329</v>
      </c>
      <c r="D317" s="23" t="s">
        <v>328</v>
      </c>
      <c r="E317" s="24">
        <f>Source!DO188</f>
        <v>107</v>
      </c>
      <c r="F317" s="25"/>
      <c r="G317" s="26"/>
      <c r="H317" s="24"/>
      <c r="I317" s="25">
        <f>SUM(S309:S316)</f>
        <v>885.1</v>
      </c>
      <c r="J317" s="24">
        <f>Source!CA188</f>
        <v>55</v>
      </c>
      <c r="K317" s="25">
        <f>SUM(T309:T316)</f>
        <v>21232.98</v>
      </c>
    </row>
    <row r="318" spans="1:35" ht="15">
      <c r="A318" s="22"/>
      <c r="B318" s="22"/>
      <c r="C318" s="22" t="s">
        <v>330</v>
      </c>
      <c r="D318" s="23" t="s">
        <v>328</v>
      </c>
      <c r="E318" s="24">
        <f>175</f>
        <v>175</v>
      </c>
      <c r="F318" s="25"/>
      <c r="G318" s="26"/>
      <c r="H318" s="24"/>
      <c r="I318" s="25">
        <f>SUM(U309:U317)</f>
        <v>1292.48</v>
      </c>
      <c r="J318" s="24">
        <f>160</f>
        <v>160</v>
      </c>
      <c r="K318" s="25">
        <f>SUM(V309:V317)</f>
        <v>55149.760000000002</v>
      </c>
    </row>
    <row r="319" spans="1:35" ht="15">
      <c r="A319" s="30"/>
      <c r="B319" s="30"/>
      <c r="C319" s="30" t="s">
        <v>331</v>
      </c>
      <c r="D319" s="31" t="s">
        <v>332</v>
      </c>
      <c r="E319" s="32">
        <f>Source!AQ188</f>
        <v>4.29</v>
      </c>
      <c r="F319" s="33"/>
      <c r="G319" s="34" t="str">
        <f>Source!DI188</f>
        <v/>
      </c>
      <c r="H319" s="32">
        <f>Source!AV188</f>
        <v>1.0469999999999999</v>
      </c>
      <c r="I319" s="33">
        <f>Source!U188</f>
        <v>68.021244719999999</v>
      </c>
      <c r="J319" s="32"/>
      <c r="K319" s="33"/>
      <c r="AB319" s="35">
        <f>I319</f>
        <v>68.021244719999999</v>
      </c>
    </row>
    <row r="320" spans="1:35" ht="14.25">
      <c r="C320" s="16" t="s">
        <v>333</v>
      </c>
      <c r="H320" s="40">
        <f>I311+I312+I314+I316+I317+I318+SUM(I315:I315)-SUMIF(AI315:AI315, 5, I315:I315)-SUMIF(AI315:AI315, 6, I315:I315)</f>
        <v>60069.85</v>
      </c>
      <c r="I320" s="40"/>
      <c r="J320" s="40">
        <f>K311+K312+K314+K316+K317+K318+SUM(K315:K315)-SUMIF(AI315:AI315, 5, K315:K315)-SUMIF(AI315:AI315, 6, K315:K315)</f>
        <v>950931.17999999993</v>
      </c>
      <c r="K320" s="40"/>
    </row>
    <row r="321" spans="1:35" ht="14.25">
      <c r="C321" s="16" t="s">
        <v>334</v>
      </c>
      <c r="H321" s="37">
        <f>SUMIF(AI315:AI315, 5, I315:I315)+SUMIF(AI315:AI315, 6, I315:I315)</f>
        <v>0</v>
      </c>
      <c r="I321" s="37"/>
      <c r="J321" s="37">
        <f>SUMIF(AI315:AI315, 5, K315:K315)+SUMIF(AI315:AI315, 6, K315:K315)</f>
        <v>0</v>
      </c>
      <c r="K321" s="37"/>
    </row>
    <row r="322" spans="1:35" ht="14.25">
      <c r="H322" s="37"/>
      <c r="I322" s="37"/>
      <c r="J322" s="37"/>
      <c r="K322" s="37"/>
      <c r="O322" s="35">
        <f>I311+I312+I314+I316+I317+I318+SUM(I315:I315)</f>
        <v>60069.85</v>
      </c>
      <c r="P322" s="35">
        <f>K311+K312+K314+K316+K317+K318+SUM(K315:K315)</f>
        <v>950931.17999999993</v>
      </c>
      <c r="X322" s="12">
        <f>IF(Source!BI188&lt;=1,I311+I312+I314+I316+I317+I318-0, 0)</f>
        <v>13653.17</v>
      </c>
      <c r="Y322" s="12">
        <f>IF(Source!BI188=2,I311+I312+I314+I316+I317+I318-0, 0)</f>
        <v>0</v>
      </c>
      <c r="Z322" s="12">
        <f>IF(Source!BI188=3,I311+I312+I314+I316+I317+I318-0, 0)</f>
        <v>0</v>
      </c>
      <c r="AA322" s="12">
        <f>IF(Source!BI188=4,I311+I312+I314+I316+I317+I318,0)</f>
        <v>0</v>
      </c>
    </row>
    <row r="324" spans="1:35" ht="45">
      <c r="A324" s="22">
        <v>22</v>
      </c>
      <c r="B324" s="22" t="str">
        <f>Source!F192</f>
        <v>3.27-42-1</v>
      </c>
      <c r="C324" s="22" t="s">
        <v>243</v>
      </c>
      <c r="D324" s="23" t="str">
        <f>Source!H192</f>
        <v>100 м2 покрытия</v>
      </c>
      <c r="E324" s="24">
        <f>Source!I192</f>
        <v>15.144</v>
      </c>
      <c r="F324" s="25"/>
      <c r="G324" s="26"/>
      <c r="H324" s="24"/>
      <c r="I324" s="25"/>
      <c r="J324" s="24"/>
      <c r="K324" s="25"/>
      <c r="Q324" s="12">
        <f>ROUND((Source!DN192/100)*ROUND((ROUND((Source!AF192*Source!AV192*Source!I192),2)),2), 2)</f>
        <v>1331.79</v>
      </c>
      <c r="R324" s="12">
        <f>Source!X192</f>
        <v>51731.26</v>
      </c>
      <c r="S324" s="12">
        <f>ROUND((Source!DO192/100)*ROUND((ROUND((Source!AF192*Source!AV192*Source!I192),2)),2), 2)</f>
        <v>885.1</v>
      </c>
      <c r="T324" s="12">
        <f>Source!Y192</f>
        <v>21232.98</v>
      </c>
      <c r="U324" s="12">
        <f>ROUND((175/100)*ROUND((ROUND((Source!AE192*Source!AV192*Source!I192),2)),2), 2)</f>
        <v>1292.48</v>
      </c>
      <c r="V324" s="12">
        <f>ROUND((160/100)*ROUND(ROUND((ROUND((Source!AE192*Source!AV192*Source!I192),2)*Source!BS192),2), 2), 2)</f>
        <v>55149.760000000002</v>
      </c>
      <c r="AI324" s="12">
        <v>0</v>
      </c>
    </row>
    <row r="325" spans="1:35" ht="15">
      <c r="A325" s="22"/>
      <c r="B325" s="22"/>
      <c r="C325" s="22" t="s">
        <v>324</v>
      </c>
      <c r="D325" s="23"/>
      <c r="E325" s="24"/>
      <c r="F325" s="25">
        <f>Source!AO192</f>
        <v>52.17</v>
      </c>
      <c r="G325" s="26" t="str">
        <f>Source!DG192</f>
        <v/>
      </c>
      <c r="H325" s="24">
        <f>Source!AV192</f>
        <v>1.0469999999999999</v>
      </c>
      <c r="I325" s="25">
        <f>ROUND((ROUND((Source!AF192*Source!AV192*Source!I192),2)),2)</f>
        <v>827.2</v>
      </c>
      <c r="J325" s="24">
        <f>IF(Source!BA192&lt;&gt; 0, Source!BA192, 1)</f>
        <v>46.67</v>
      </c>
      <c r="K325" s="25">
        <f>Source!S192</f>
        <v>38605.42</v>
      </c>
      <c r="W325" s="12">
        <f>I325</f>
        <v>827.2</v>
      </c>
    </row>
    <row r="326" spans="1:35" ht="15">
      <c r="A326" s="22"/>
      <c r="B326" s="22"/>
      <c r="C326" s="22" t="s">
        <v>325</v>
      </c>
      <c r="D326" s="23"/>
      <c r="E326" s="24"/>
      <c r="F326" s="25">
        <f>Source!AM192</f>
        <v>532.35</v>
      </c>
      <c r="G326" s="26" t="str">
        <f>Source!DE192</f>
        <v/>
      </c>
      <c r="H326" s="24">
        <f>Source!AV192</f>
        <v>1.0469999999999999</v>
      </c>
      <c r="I326" s="25">
        <f>(ROUND((ROUND(((Source!ET192)*Source!AV192*Source!I192),2)),2)+ROUND((ROUND(((Source!AE192-(Source!EU192))*Source!AV192*Source!I192),2)),2))</f>
        <v>8440.82</v>
      </c>
      <c r="J326" s="24">
        <f>IF(Source!BB192&lt;&gt; 0, Source!BB192, 1)</f>
        <v>13.46</v>
      </c>
      <c r="K326" s="25">
        <f>Source!Q192</f>
        <v>113613.44</v>
      </c>
    </row>
    <row r="327" spans="1:35" ht="15">
      <c r="A327" s="22"/>
      <c r="B327" s="22"/>
      <c r="C327" s="22" t="s">
        <v>326</v>
      </c>
      <c r="D327" s="23"/>
      <c r="E327" s="24"/>
      <c r="F327" s="25">
        <f>Source!AN192</f>
        <v>46.58</v>
      </c>
      <c r="G327" s="26" t="str">
        <f>Source!DF192</f>
        <v/>
      </c>
      <c r="H327" s="24">
        <f>Source!AV192</f>
        <v>1.0469999999999999</v>
      </c>
      <c r="I327" s="28">
        <f>ROUND((ROUND((Source!AE192*Source!AV192*Source!I192),2)),2)</f>
        <v>738.56</v>
      </c>
      <c r="J327" s="24">
        <f>IF(Source!BS192&lt;&gt; 0, Source!BS192, 1)</f>
        <v>46.67</v>
      </c>
      <c r="K327" s="28">
        <f>Source!R192</f>
        <v>34468.6</v>
      </c>
      <c r="W327" s="12">
        <f>I327</f>
        <v>738.56</v>
      </c>
    </row>
    <row r="328" spans="1:35" ht="15">
      <c r="A328" s="22"/>
      <c r="B328" s="22"/>
      <c r="C328" s="22" t="s">
        <v>335</v>
      </c>
      <c r="D328" s="23"/>
      <c r="E328" s="24"/>
      <c r="F328" s="25">
        <f>Source!AL192</f>
        <v>57.83</v>
      </c>
      <c r="G328" s="26" t="str">
        <f>Source!DD192</f>
        <v/>
      </c>
      <c r="H328" s="24">
        <f>Source!AW192</f>
        <v>1</v>
      </c>
      <c r="I328" s="25">
        <f>ROUND((ROUND((Source!AC192*Source!AW192*Source!I192),2)),2)</f>
        <v>875.78</v>
      </c>
      <c r="J328" s="24">
        <f>IF(Source!BC192&lt;&gt; 0, Source!BC192, 1)</f>
        <v>16.29</v>
      </c>
      <c r="K328" s="25">
        <f>Source!P192</f>
        <v>14266.46</v>
      </c>
    </row>
    <row r="329" spans="1:35" ht="30">
      <c r="A329" s="22" t="s">
        <v>244</v>
      </c>
      <c r="B329" s="22" t="str">
        <f>Source!F194</f>
        <v>1.3-3-9</v>
      </c>
      <c r="C329" s="22" t="s">
        <v>240</v>
      </c>
      <c r="D329" s="23" t="str">
        <f>Source!H194</f>
        <v>т</v>
      </c>
      <c r="E329" s="24">
        <f>Source!I194</f>
        <v>36.648479999999999</v>
      </c>
      <c r="F329" s="25">
        <f>Source!AK194</f>
        <v>317.29000000000002</v>
      </c>
      <c r="G329" s="29" t="s">
        <v>6</v>
      </c>
      <c r="H329" s="24">
        <f>Source!AW194</f>
        <v>1</v>
      </c>
      <c r="I329" s="25">
        <f>ROUND((ROUND((Source!AC194*Source!AW194*Source!I194),2)),2)+(ROUND((ROUND(((Source!ET194)*Source!AV194*Source!I194),2)),2)+ROUND((ROUND(((Source!AE194-(Source!EU194))*Source!AV194*Source!I194),2)),2))+ROUND((ROUND((Source!AF194*Source!AV194*Source!I194),2)),2)</f>
        <v>11628.2</v>
      </c>
      <c r="J329" s="24">
        <f>IF(Source!BC194&lt;&gt; 0, Source!BC194, 1)</f>
        <v>14.14</v>
      </c>
      <c r="K329" s="25">
        <f>Source!O194</f>
        <v>164422.75</v>
      </c>
      <c r="Q329" s="12">
        <f>ROUND((Source!DN194/100)*ROUND((ROUND((Source!AF194*Source!AV194*Source!I194),2)),2), 2)</f>
        <v>0</v>
      </c>
      <c r="R329" s="12">
        <f>Source!X194</f>
        <v>0</v>
      </c>
      <c r="S329" s="12">
        <f>ROUND((Source!DO194/100)*ROUND((ROUND((Source!AF194*Source!AV194*Source!I194),2)),2), 2)</f>
        <v>0</v>
      </c>
      <c r="T329" s="12">
        <f>Source!Y194</f>
        <v>0</v>
      </c>
      <c r="U329" s="12">
        <f>ROUND((175/100)*ROUND((ROUND((Source!AE194*Source!AV194*Source!I194),2)),2), 2)</f>
        <v>0</v>
      </c>
      <c r="V329" s="12">
        <f>ROUND((160/100)*ROUND(ROUND((ROUND((Source!AE194*Source!AV194*Source!I194),2)*Source!BS194),2), 2), 2)</f>
        <v>0</v>
      </c>
      <c r="X329" s="12">
        <f>IF(Source!BI194&lt;=1,I329, 0)</f>
        <v>11628.2</v>
      </c>
      <c r="Y329" s="12">
        <f>IF(Source!BI194=2,I329, 0)</f>
        <v>0</v>
      </c>
      <c r="Z329" s="12">
        <f>IF(Source!BI194=3,I329, 0)</f>
        <v>0</v>
      </c>
      <c r="AA329" s="12">
        <f>IF(Source!BI194=4,I329, 0)</f>
        <v>0</v>
      </c>
      <c r="AI329" s="12">
        <v>3</v>
      </c>
    </row>
    <row r="330" spans="1:35" ht="15">
      <c r="A330" s="22"/>
      <c r="B330" s="22"/>
      <c r="C330" s="22" t="s">
        <v>327</v>
      </c>
      <c r="D330" s="23" t="s">
        <v>328</v>
      </c>
      <c r="E330" s="24">
        <f>Source!DN192</f>
        <v>161</v>
      </c>
      <c r="F330" s="25"/>
      <c r="G330" s="26"/>
      <c r="H330" s="24"/>
      <c r="I330" s="25">
        <f>SUM(Q324:Q329)</f>
        <v>1331.79</v>
      </c>
      <c r="J330" s="24">
        <f>Source!BZ192</f>
        <v>134</v>
      </c>
      <c r="K330" s="25">
        <f>SUM(R324:R329)</f>
        <v>51731.26</v>
      </c>
    </row>
    <row r="331" spans="1:35" ht="15">
      <c r="A331" s="22"/>
      <c r="B331" s="22"/>
      <c r="C331" s="22" t="s">
        <v>329</v>
      </c>
      <c r="D331" s="23" t="s">
        <v>328</v>
      </c>
      <c r="E331" s="24">
        <f>Source!DO192</f>
        <v>107</v>
      </c>
      <c r="F331" s="25"/>
      <c r="G331" s="26"/>
      <c r="H331" s="24"/>
      <c r="I331" s="25">
        <f>SUM(S324:S330)</f>
        <v>885.1</v>
      </c>
      <c r="J331" s="24">
        <f>Source!CA192</f>
        <v>55</v>
      </c>
      <c r="K331" s="25">
        <f>SUM(T324:T330)</f>
        <v>21232.98</v>
      </c>
    </row>
    <row r="332" spans="1:35" ht="15">
      <c r="A332" s="22"/>
      <c r="B332" s="22"/>
      <c r="C332" s="22" t="s">
        <v>330</v>
      </c>
      <c r="D332" s="23" t="s">
        <v>328</v>
      </c>
      <c r="E332" s="24">
        <f>175</f>
        <v>175</v>
      </c>
      <c r="F332" s="25"/>
      <c r="G332" s="26"/>
      <c r="H332" s="24"/>
      <c r="I332" s="25">
        <f>SUM(U324:U331)</f>
        <v>1292.48</v>
      </c>
      <c r="J332" s="24">
        <f>160</f>
        <v>160</v>
      </c>
      <c r="K332" s="25">
        <f>SUM(V324:V331)</f>
        <v>55149.760000000002</v>
      </c>
    </row>
    <row r="333" spans="1:35" ht="15">
      <c r="A333" s="30"/>
      <c r="B333" s="30"/>
      <c r="C333" s="30" t="s">
        <v>331</v>
      </c>
      <c r="D333" s="31" t="s">
        <v>332</v>
      </c>
      <c r="E333" s="32">
        <f>Source!AQ192</f>
        <v>4.29</v>
      </c>
      <c r="F333" s="33"/>
      <c r="G333" s="34" t="str">
        <f>Source!DI192</f>
        <v/>
      </c>
      <c r="H333" s="32">
        <f>Source!AV192</f>
        <v>1.0469999999999999</v>
      </c>
      <c r="I333" s="33">
        <f>Source!U192</f>
        <v>68.021244719999999</v>
      </c>
      <c r="J333" s="32"/>
      <c r="K333" s="33"/>
      <c r="AB333" s="35">
        <f>I333</f>
        <v>68.021244719999999</v>
      </c>
    </row>
    <row r="334" spans="1:35" ht="14.25">
      <c r="C334" s="16" t="s">
        <v>333</v>
      </c>
      <c r="H334" s="40">
        <f>I325+I326+I328+I330+I331+I332+SUM(I329:I329)-SUMIF(AI329:AI329, 5, I329:I329)-SUMIF(AI329:AI329, 6, I329:I329)</f>
        <v>25281.370000000003</v>
      </c>
      <c r="I334" s="40"/>
      <c r="J334" s="40">
        <f>K325+K326+K328+K330+K331+K332+SUM(K329:K329)-SUMIF(AI329:AI329, 5, K329:K329)-SUMIF(AI329:AI329, 6, K329:K329)</f>
        <v>459022.07</v>
      </c>
      <c r="K334" s="40"/>
    </row>
    <row r="335" spans="1:35" ht="14.25">
      <c r="C335" s="16" t="s">
        <v>334</v>
      </c>
      <c r="H335" s="37">
        <f>SUMIF(AI329:AI329, 5, I329:I329)+SUMIF(AI329:AI329, 6, I329:I329)</f>
        <v>0</v>
      </c>
      <c r="I335" s="37"/>
      <c r="J335" s="37">
        <f>SUMIF(AI329:AI329, 5, K329:K329)+SUMIF(AI329:AI329, 6, K329:K329)</f>
        <v>0</v>
      </c>
      <c r="K335" s="37"/>
    </row>
    <row r="336" spans="1:35" ht="14.25">
      <c r="H336" s="37"/>
      <c r="I336" s="37"/>
      <c r="J336" s="37"/>
      <c r="K336" s="37"/>
      <c r="O336" s="35">
        <f>I325+I326+I328+I330+I331+I332+SUM(I329:I329)</f>
        <v>25281.370000000003</v>
      </c>
      <c r="P336" s="35">
        <f>K325+K326+K328+K330+K331+K332+SUM(K329:K329)</f>
        <v>459022.07</v>
      </c>
      <c r="X336" s="12">
        <f>IF(Source!BI192&lt;=1,I325+I326+I328+I330+I331+I332-0, 0)</f>
        <v>13653.17</v>
      </c>
      <c r="Y336" s="12">
        <f>IF(Source!BI192=2,I325+I326+I328+I330+I331+I332-0, 0)</f>
        <v>0</v>
      </c>
      <c r="Z336" s="12">
        <f>IF(Source!BI192=3,I325+I326+I328+I330+I331+I332-0, 0)</f>
        <v>0</v>
      </c>
      <c r="AA336" s="12">
        <f>IF(Source!BI192=4,I325+I326+I328+I330+I331+I332,0)</f>
        <v>0</v>
      </c>
    </row>
    <row r="339" spans="1:35" ht="14.25">
      <c r="B339" s="41" t="str">
        <f>Source!G195</f>
        <v>Восстановление проезжей части в зоне производства работ ( 5679 м2)</v>
      </c>
      <c r="C339" s="41"/>
      <c r="D339" s="41"/>
      <c r="E339" s="41"/>
      <c r="F339" s="41"/>
      <c r="G339" s="41"/>
      <c r="H339" s="41"/>
      <c r="I339" s="41"/>
      <c r="J339" s="41"/>
    </row>
    <row r="340" spans="1:35" ht="75">
      <c r="A340" s="22">
        <v>23</v>
      </c>
      <c r="B340" s="22" t="str">
        <f>Source!F197</f>
        <v>6.68-84-1</v>
      </c>
      <c r="C340" s="22" t="s">
        <v>248</v>
      </c>
      <c r="D340" s="23" t="str">
        <f>Source!H197</f>
        <v>100 м2</v>
      </c>
      <c r="E340" s="24">
        <f>Source!I197</f>
        <v>56.79</v>
      </c>
      <c r="F340" s="25"/>
      <c r="G340" s="26"/>
      <c r="H340" s="24"/>
      <c r="I340" s="25"/>
      <c r="J340" s="24"/>
      <c r="K340" s="25"/>
      <c r="Q340" s="12">
        <f>ROUND((Source!DN197/100)*ROUND((ROUND((Source!AF197*Source!AV197*Source!I197),2)),2), 2)</f>
        <v>738.61</v>
      </c>
      <c r="R340" s="12">
        <f>Source!X197</f>
        <v>28315.48</v>
      </c>
      <c r="S340" s="12">
        <f>ROUND((Source!DO197/100)*ROUND((ROUND((Source!AF197*Source!AV197*Source!I197),2)),2), 2)</f>
        <v>416.79</v>
      </c>
      <c r="T340" s="12">
        <f>Source!Y197</f>
        <v>10095.09</v>
      </c>
      <c r="U340" s="12">
        <f>ROUND((175/100)*ROUND((ROUND((Source!AE197*Source!AV197*Source!I197),2)),2), 2)</f>
        <v>1128.98</v>
      </c>
      <c r="V340" s="12">
        <f>ROUND((160/100)*ROUND(ROUND((ROUND((Source!AE197*Source!AV197*Source!I197),2)*Source!BS197),2), 2), 2)</f>
        <v>48173.15</v>
      </c>
      <c r="AI340" s="12">
        <v>0</v>
      </c>
    </row>
    <row r="341" spans="1:35">
      <c r="C341" s="27" t="str">
        <f>"Объем: "&amp;Source!I197&amp;"=5679/"&amp;"100"</f>
        <v>Объем: 56,79=5679/100</v>
      </c>
    </row>
    <row r="342" spans="1:35" ht="15">
      <c r="A342" s="22"/>
      <c r="B342" s="22"/>
      <c r="C342" s="22" t="s">
        <v>324</v>
      </c>
      <c r="D342" s="23"/>
      <c r="E342" s="24"/>
      <c r="F342" s="25">
        <f>Source!AO197</f>
        <v>9.2899999999999991</v>
      </c>
      <c r="G342" s="26" t="str">
        <f>Source!DG197</f>
        <v/>
      </c>
      <c r="H342" s="24">
        <f>Source!AV197</f>
        <v>1</v>
      </c>
      <c r="I342" s="25">
        <f>ROUND((ROUND((Source!AF197*Source!AV197*Source!I197),2)),2)</f>
        <v>527.58000000000004</v>
      </c>
      <c r="J342" s="24">
        <f>IF(Source!BA197&lt;&gt; 0, Source!BA197, 1)</f>
        <v>46.67</v>
      </c>
      <c r="K342" s="25">
        <f>Source!S197</f>
        <v>24622.16</v>
      </c>
      <c r="W342" s="12">
        <f>I342</f>
        <v>527.58000000000004</v>
      </c>
    </row>
    <row r="343" spans="1:35" ht="15">
      <c r="A343" s="22"/>
      <c r="B343" s="22"/>
      <c r="C343" s="22" t="s">
        <v>325</v>
      </c>
      <c r="D343" s="23"/>
      <c r="E343" s="24"/>
      <c r="F343" s="25">
        <f>Source!AM197</f>
        <v>334.33</v>
      </c>
      <c r="G343" s="26" t="str">
        <f>Source!DE197</f>
        <v/>
      </c>
      <c r="H343" s="24">
        <f>Source!AV197</f>
        <v>1</v>
      </c>
      <c r="I343" s="25">
        <f>(ROUND((ROUND(((Source!ET197)*Source!AV197*Source!I197),2)),2)+ROUND((ROUND(((Source!AE197-(Source!EU197))*Source!AV197*Source!I197),2)),2))</f>
        <v>18986.599999999999</v>
      </c>
      <c r="J343" s="24">
        <f>IF(Source!BB197&lt;&gt; 0, Source!BB197, 1)</f>
        <v>11.37</v>
      </c>
      <c r="K343" s="25">
        <f>Source!Q197</f>
        <v>215877.64</v>
      </c>
    </row>
    <row r="344" spans="1:35" ht="15">
      <c r="A344" s="22"/>
      <c r="B344" s="22"/>
      <c r="C344" s="22" t="s">
        <v>326</v>
      </c>
      <c r="D344" s="23"/>
      <c r="E344" s="24"/>
      <c r="F344" s="25">
        <f>Source!AN197</f>
        <v>11.36</v>
      </c>
      <c r="G344" s="26" t="str">
        <f>Source!DF197</f>
        <v/>
      </c>
      <c r="H344" s="24">
        <f>Source!AV197</f>
        <v>1</v>
      </c>
      <c r="I344" s="28">
        <f>ROUND((ROUND((Source!AE197*Source!AV197*Source!I197),2)),2)</f>
        <v>645.13</v>
      </c>
      <c r="J344" s="24">
        <f>IF(Source!BS197&lt;&gt; 0, Source!BS197, 1)</f>
        <v>46.67</v>
      </c>
      <c r="K344" s="28">
        <f>Source!R197</f>
        <v>30108.22</v>
      </c>
      <c r="W344" s="12">
        <f>I344</f>
        <v>645.13</v>
      </c>
    </row>
    <row r="345" spans="1:35" ht="15">
      <c r="A345" s="22"/>
      <c r="B345" s="22"/>
      <c r="C345" s="22" t="s">
        <v>335</v>
      </c>
      <c r="D345" s="23"/>
      <c r="E345" s="24"/>
      <c r="F345" s="25">
        <f>Source!AL197</f>
        <v>139.21</v>
      </c>
      <c r="G345" s="26" t="str">
        <f>Source!DD197</f>
        <v/>
      </c>
      <c r="H345" s="24">
        <f>Source!AW197</f>
        <v>1</v>
      </c>
      <c r="I345" s="25">
        <f>ROUND((ROUND((Source!AC197*Source!AW197*Source!I197),2)),2)</f>
        <v>7905.74</v>
      </c>
      <c r="J345" s="24">
        <f>IF(Source!BC197&lt;&gt; 0, Source!BC197, 1)</f>
        <v>3.82</v>
      </c>
      <c r="K345" s="25">
        <f>Source!P197</f>
        <v>30199.93</v>
      </c>
    </row>
    <row r="346" spans="1:35" ht="15">
      <c r="A346" s="22"/>
      <c r="B346" s="22"/>
      <c r="C346" s="22" t="s">
        <v>327</v>
      </c>
      <c r="D346" s="23" t="s">
        <v>328</v>
      </c>
      <c r="E346" s="24">
        <f>Source!DN197</f>
        <v>140</v>
      </c>
      <c r="F346" s="25"/>
      <c r="G346" s="26"/>
      <c r="H346" s="24"/>
      <c r="I346" s="25">
        <f>SUM(Q340:Q345)</f>
        <v>738.61</v>
      </c>
      <c r="J346" s="24">
        <f>Source!BZ197</f>
        <v>115</v>
      </c>
      <c r="K346" s="25">
        <f>SUM(R340:R345)</f>
        <v>28315.48</v>
      </c>
    </row>
    <row r="347" spans="1:35" ht="15">
      <c r="A347" s="22"/>
      <c r="B347" s="22"/>
      <c r="C347" s="22" t="s">
        <v>329</v>
      </c>
      <c r="D347" s="23" t="s">
        <v>328</v>
      </c>
      <c r="E347" s="24">
        <f>Source!DO197</f>
        <v>79</v>
      </c>
      <c r="F347" s="25"/>
      <c r="G347" s="26"/>
      <c r="H347" s="24"/>
      <c r="I347" s="25">
        <f>SUM(S340:S346)</f>
        <v>416.79</v>
      </c>
      <c r="J347" s="24">
        <f>Source!CA197</f>
        <v>41</v>
      </c>
      <c r="K347" s="25">
        <f>SUM(T340:T346)</f>
        <v>10095.09</v>
      </c>
    </row>
    <row r="348" spans="1:35" ht="15">
      <c r="A348" s="22"/>
      <c r="B348" s="22"/>
      <c r="C348" s="22" t="s">
        <v>330</v>
      </c>
      <c r="D348" s="23" t="s">
        <v>328</v>
      </c>
      <c r="E348" s="24">
        <f>175</f>
        <v>175</v>
      </c>
      <c r="F348" s="25"/>
      <c r="G348" s="26"/>
      <c r="H348" s="24"/>
      <c r="I348" s="25">
        <f>SUM(U340:U347)</f>
        <v>1128.98</v>
      </c>
      <c r="J348" s="24">
        <f>160</f>
        <v>160</v>
      </c>
      <c r="K348" s="25">
        <f>SUM(V340:V347)</f>
        <v>48173.15</v>
      </c>
    </row>
    <row r="349" spans="1:35" ht="15">
      <c r="A349" s="30"/>
      <c r="B349" s="30"/>
      <c r="C349" s="30" t="s">
        <v>331</v>
      </c>
      <c r="D349" s="31" t="s">
        <v>332</v>
      </c>
      <c r="E349" s="32">
        <f>Source!AQ197</f>
        <v>0.79</v>
      </c>
      <c r="F349" s="33"/>
      <c r="G349" s="34" t="str">
        <f>Source!DI197</f>
        <v/>
      </c>
      <c r="H349" s="32">
        <f>Source!AV197</f>
        <v>1</v>
      </c>
      <c r="I349" s="33">
        <f>Source!U197</f>
        <v>44.864100000000001</v>
      </c>
      <c r="J349" s="32"/>
      <c r="K349" s="33"/>
      <c r="AB349" s="35">
        <f>I349</f>
        <v>44.864100000000001</v>
      </c>
    </row>
    <row r="350" spans="1:35" ht="14.25">
      <c r="C350" s="16" t="s">
        <v>333</v>
      </c>
      <c r="H350" s="40">
        <f>I342+I343+I345+I346+I347+I348+0-0-0</f>
        <v>29704.3</v>
      </c>
      <c r="I350" s="40"/>
      <c r="J350" s="40">
        <f>K342+K343+K345+K346+K347+K348+0-0-0</f>
        <v>357283.45000000007</v>
      </c>
      <c r="K350" s="40"/>
    </row>
    <row r="351" spans="1:35" ht="14.25">
      <c r="C351" s="16" t="s">
        <v>334</v>
      </c>
      <c r="H351" s="37">
        <f>0+0</f>
        <v>0</v>
      </c>
      <c r="I351" s="37"/>
      <c r="J351" s="37">
        <f>0+0</f>
        <v>0</v>
      </c>
      <c r="K351" s="37"/>
    </row>
    <row r="352" spans="1:35" ht="14.25">
      <c r="H352" s="37"/>
      <c r="I352" s="37"/>
      <c r="J352" s="37"/>
      <c r="K352" s="37"/>
      <c r="O352" s="35">
        <f>I342+I343+I345+I346+I347+I348+0</f>
        <v>29704.3</v>
      </c>
      <c r="P352" s="35">
        <f>K342+K343+K345+K346+K347+K348+0</f>
        <v>357283.45000000007</v>
      </c>
      <c r="X352" s="12">
        <f>IF(Source!BI197&lt;=1,I342+I343+I345+I346+I347+I348-0, 0)</f>
        <v>29704.3</v>
      </c>
      <c r="Y352" s="12">
        <f>IF(Source!BI197=2,I342+I343+I345+I346+I347+I348-0, 0)</f>
        <v>0</v>
      </c>
      <c r="Z352" s="12">
        <f>IF(Source!BI197=3,I342+I343+I345+I346+I347+I348-0, 0)</f>
        <v>0</v>
      </c>
      <c r="AA352" s="12">
        <f>IF(Source!BI197=4,I342+I343+I345+I346+I347+I348,0)</f>
        <v>0</v>
      </c>
    </row>
    <row r="354" spans="1:35" ht="90">
      <c r="A354" s="22">
        <v>24</v>
      </c>
      <c r="B354" s="22" t="str">
        <f>Source!F199</f>
        <v>6.68-84-4</v>
      </c>
      <c r="C354" s="22" t="s">
        <v>254</v>
      </c>
      <c r="D354" s="23" t="str">
        <f>Source!H199</f>
        <v>100 м2</v>
      </c>
      <c r="E354" s="24">
        <f>Source!I199</f>
        <v>-56.79</v>
      </c>
      <c r="F354" s="25"/>
      <c r="G354" s="26"/>
      <c r="H354" s="24"/>
      <c r="I354" s="25"/>
      <c r="J354" s="24"/>
      <c r="K354" s="25"/>
      <c r="Q354" s="12">
        <f>ROUND((Source!DN199/100)*ROUND((ROUND((Source!AF199*Source!AV199*Source!I199),2)),2), 2)</f>
        <v>-39.76</v>
      </c>
      <c r="R354" s="12">
        <f>Source!X199</f>
        <v>-1524.24</v>
      </c>
      <c r="S354" s="12">
        <f>ROUND((Source!DO199/100)*ROUND((ROUND((Source!AF199*Source!AV199*Source!I199),2)),2), 2)</f>
        <v>-22.44</v>
      </c>
      <c r="T354" s="12">
        <f>Source!Y199</f>
        <v>-543.42999999999995</v>
      </c>
      <c r="U354" s="12">
        <f>ROUND((175/100)*ROUND((ROUND((Source!AE199*Source!AV199*Source!I199),2)),2), 2)</f>
        <v>-124.23</v>
      </c>
      <c r="V354" s="12">
        <f>ROUND((160/100)*ROUND(ROUND((ROUND((Source!AE199*Source!AV199*Source!I199),2)*Source!BS199),2), 2), 2)</f>
        <v>-5300.96</v>
      </c>
      <c r="AI354" s="12">
        <v>0</v>
      </c>
    </row>
    <row r="355" spans="1:35">
      <c r="C355" s="27" t="str">
        <f>"Объем: "&amp;Source!I199&amp;"=-"&amp;"(5679)/"&amp;"100"</f>
        <v>Объем: -56,79=-(5679)/100</v>
      </c>
    </row>
    <row r="356" spans="1:35" ht="15">
      <c r="A356" s="22"/>
      <c r="B356" s="22"/>
      <c r="C356" s="22" t="s">
        <v>324</v>
      </c>
      <c r="D356" s="23"/>
      <c r="E356" s="24"/>
      <c r="F356" s="25">
        <f>Source!AO199</f>
        <v>0.5</v>
      </c>
      <c r="G356" s="26" t="str">
        <f>Source!DG199</f>
        <v/>
      </c>
      <c r="H356" s="24">
        <f>Source!AV199</f>
        <v>1</v>
      </c>
      <c r="I356" s="25">
        <f>ROUND((ROUND((Source!AF199*Source!AV199*Source!I199),2)),2)</f>
        <v>-28.4</v>
      </c>
      <c r="J356" s="24">
        <f>IF(Source!BA199&lt;&gt; 0, Source!BA199, 1)</f>
        <v>46.67</v>
      </c>
      <c r="K356" s="25">
        <f>Source!S199</f>
        <v>-1325.43</v>
      </c>
      <c r="W356" s="12">
        <f>I356</f>
        <v>-28.4</v>
      </c>
    </row>
    <row r="357" spans="1:35" ht="15">
      <c r="A357" s="22"/>
      <c r="B357" s="22"/>
      <c r="C357" s="22" t="s">
        <v>325</v>
      </c>
      <c r="D357" s="23"/>
      <c r="E357" s="24"/>
      <c r="F357" s="25">
        <f>Source!AM199</f>
        <v>48.66</v>
      </c>
      <c r="G357" s="26" t="str">
        <f>Source!DE199</f>
        <v/>
      </c>
      <c r="H357" s="24">
        <f>Source!AV199</f>
        <v>1</v>
      </c>
      <c r="I357" s="25">
        <f>(ROUND((ROUND(((Source!ET199)*Source!AV199*Source!I199),2)),2)+ROUND((ROUND(((Source!AE199-(Source!EU199))*Source!AV199*Source!I199),2)),2))</f>
        <v>-2763.4</v>
      </c>
      <c r="J357" s="24">
        <f>IF(Source!BB199&lt;&gt; 0, Source!BB199, 1)</f>
        <v>11.05</v>
      </c>
      <c r="K357" s="25">
        <f>Source!Q199</f>
        <v>-30535.57</v>
      </c>
    </row>
    <row r="358" spans="1:35" ht="15">
      <c r="A358" s="22"/>
      <c r="B358" s="22"/>
      <c r="C358" s="22" t="s">
        <v>326</v>
      </c>
      <c r="D358" s="23"/>
      <c r="E358" s="24"/>
      <c r="F358" s="25">
        <f>Source!AN199</f>
        <v>1.25</v>
      </c>
      <c r="G358" s="26" t="str">
        <f>Source!DF199</f>
        <v/>
      </c>
      <c r="H358" s="24">
        <f>Source!AV199</f>
        <v>1</v>
      </c>
      <c r="I358" s="28">
        <f>ROUND((ROUND((Source!AE199*Source!AV199*Source!I199),2)),2)</f>
        <v>-70.989999999999995</v>
      </c>
      <c r="J358" s="24">
        <f>IF(Source!BS199&lt;&gt; 0, Source!BS199, 1)</f>
        <v>46.67</v>
      </c>
      <c r="K358" s="28">
        <f>Source!R199</f>
        <v>-3313.1</v>
      </c>
      <c r="W358" s="12">
        <f>I358</f>
        <v>-70.989999999999995</v>
      </c>
    </row>
    <row r="359" spans="1:35" ht="15">
      <c r="A359" s="22"/>
      <c r="B359" s="22"/>
      <c r="C359" s="22" t="s">
        <v>335</v>
      </c>
      <c r="D359" s="23"/>
      <c r="E359" s="24"/>
      <c r="F359" s="25">
        <f>Source!AL199</f>
        <v>22.84</v>
      </c>
      <c r="G359" s="26" t="str">
        <f>Source!DD199</f>
        <v/>
      </c>
      <c r="H359" s="24">
        <f>Source!AW199</f>
        <v>1</v>
      </c>
      <c r="I359" s="25">
        <f>ROUND((ROUND((Source!AC199*Source!AW199*Source!I199),2)),2)</f>
        <v>-1297.08</v>
      </c>
      <c r="J359" s="24">
        <f>IF(Source!BC199&lt;&gt; 0, Source!BC199, 1)</f>
        <v>3.83</v>
      </c>
      <c r="K359" s="25">
        <f>Source!P199</f>
        <v>-4967.82</v>
      </c>
    </row>
    <row r="360" spans="1:35" ht="15">
      <c r="A360" s="22"/>
      <c r="B360" s="22"/>
      <c r="C360" s="22" t="s">
        <v>327</v>
      </c>
      <c r="D360" s="23" t="s">
        <v>328</v>
      </c>
      <c r="E360" s="24">
        <f>Source!DN199</f>
        <v>140</v>
      </c>
      <c r="F360" s="25"/>
      <c r="G360" s="26"/>
      <c r="H360" s="24"/>
      <c r="I360" s="25">
        <f>SUM(Q354:Q359)</f>
        <v>-39.76</v>
      </c>
      <c r="J360" s="24">
        <f>Source!BZ199</f>
        <v>115</v>
      </c>
      <c r="K360" s="25">
        <f>SUM(R354:R359)</f>
        <v>-1524.24</v>
      </c>
    </row>
    <row r="361" spans="1:35" ht="15">
      <c r="A361" s="22"/>
      <c r="B361" s="22"/>
      <c r="C361" s="22" t="s">
        <v>329</v>
      </c>
      <c r="D361" s="23" t="s">
        <v>328</v>
      </c>
      <c r="E361" s="24">
        <f>Source!DO199</f>
        <v>79</v>
      </c>
      <c r="F361" s="25"/>
      <c r="G361" s="26"/>
      <c r="H361" s="24"/>
      <c r="I361" s="25">
        <f>SUM(S354:S360)</f>
        <v>-22.44</v>
      </c>
      <c r="J361" s="24">
        <f>Source!CA199</f>
        <v>41</v>
      </c>
      <c r="K361" s="25">
        <f>SUM(T354:T360)</f>
        <v>-543.42999999999995</v>
      </c>
    </row>
    <row r="362" spans="1:35" ht="15">
      <c r="A362" s="22"/>
      <c r="B362" s="22"/>
      <c r="C362" s="22" t="s">
        <v>330</v>
      </c>
      <c r="D362" s="23" t="s">
        <v>328</v>
      </c>
      <c r="E362" s="24">
        <f>175</f>
        <v>175</v>
      </c>
      <c r="F362" s="25"/>
      <c r="G362" s="26"/>
      <c r="H362" s="24"/>
      <c r="I362" s="25">
        <f>SUM(U354:U361)</f>
        <v>-124.23</v>
      </c>
      <c r="J362" s="24">
        <f>160</f>
        <v>160</v>
      </c>
      <c r="K362" s="25">
        <f>SUM(V354:V361)</f>
        <v>-5300.96</v>
      </c>
    </row>
    <row r="363" spans="1:35" ht="15">
      <c r="A363" s="30"/>
      <c r="B363" s="30"/>
      <c r="C363" s="30" t="s">
        <v>331</v>
      </c>
      <c r="D363" s="31" t="s">
        <v>332</v>
      </c>
      <c r="E363" s="32">
        <f>Source!AQ199</f>
        <v>0.04</v>
      </c>
      <c r="F363" s="33"/>
      <c r="G363" s="34" t="str">
        <f>Source!DI199</f>
        <v/>
      </c>
      <c r="H363" s="32">
        <f>Source!AV199</f>
        <v>1</v>
      </c>
      <c r="I363" s="33">
        <f>Source!U199</f>
        <v>-2.2715999999999998</v>
      </c>
      <c r="J363" s="32"/>
      <c r="K363" s="33"/>
      <c r="AB363" s="35">
        <f>I363</f>
        <v>-2.2715999999999998</v>
      </c>
    </row>
    <row r="364" spans="1:35" ht="14.25">
      <c r="C364" s="16" t="s">
        <v>333</v>
      </c>
      <c r="H364" s="40">
        <f>I356+I357+I359+I360+I361+I362+0-0-0</f>
        <v>-4275.3099999999995</v>
      </c>
      <c r="I364" s="40"/>
      <c r="J364" s="40">
        <f>K356+K357+K359+K360+K361+K362+0-0-0</f>
        <v>-44197.45</v>
      </c>
      <c r="K364" s="40"/>
    </row>
    <row r="365" spans="1:35" ht="14.25">
      <c r="C365" s="16" t="s">
        <v>334</v>
      </c>
      <c r="H365" s="37">
        <f>0+0</f>
        <v>0</v>
      </c>
      <c r="I365" s="37"/>
      <c r="J365" s="37">
        <f>0+0</f>
        <v>0</v>
      </c>
      <c r="K365" s="37"/>
    </row>
    <row r="366" spans="1:35" ht="14.25">
      <c r="H366" s="37"/>
      <c r="I366" s="37"/>
      <c r="J366" s="37"/>
      <c r="K366" s="37"/>
      <c r="O366" s="35">
        <f>I356+I357+I359+I360+I361+I362+0</f>
        <v>-4275.3099999999995</v>
      </c>
      <c r="P366" s="35">
        <f>K356+K357+K359+K360+K361+K362+0</f>
        <v>-44197.45</v>
      </c>
      <c r="X366" s="12">
        <f>IF(Source!BI199&lt;=1,I356+I357+I359+I360+I361+I362-0, 0)</f>
        <v>-4275.3099999999995</v>
      </c>
      <c r="Y366" s="12">
        <f>IF(Source!BI199=2,I356+I357+I359+I360+I361+I362-0, 0)</f>
        <v>0</v>
      </c>
      <c r="Z366" s="12">
        <f>IF(Source!BI199=3,I356+I357+I359+I360+I361+I362-0, 0)</f>
        <v>0</v>
      </c>
      <c r="AA366" s="12">
        <f>IF(Source!BI199=4,I356+I357+I359+I360+I361+I362,0)</f>
        <v>0</v>
      </c>
    </row>
    <row r="368" spans="1:35" ht="45">
      <c r="A368" s="22">
        <v>25</v>
      </c>
      <c r="B368" s="22" t="str">
        <f>Source!F203</f>
        <v>3.27-42-1</v>
      </c>
      <c r="C368" s="22" t="s">
        <v>218</v>
      </c>
      <c r="D368" s="23" t="str">
        <f>Source!H203</f>
        <v>100 м2 покрытия</v>
      </c>
      <c r="E368" s="24">
        <f>Source!I203</f>
        <v>56.79</v>
      </c>
      <c r="F368" s="25"/>
      <c r="G368" s="26"/>
      <c r="H368" s="24"/>
      <c r="I368" s="25"/>
      <c r="J368" s="24"/>
      <c r="K368" s="25"/>
      <c r="Q368" s="12">
        <f>ROUND((Source!DN203/100)*ROUND((ROUND((Source!AF203*Source!AV203*Source!I203),2)),2), 2)</f>
        <v>4994.1899999999996</v>
      </c>
      <c r="R368" s="12">
        <f>Source!X203</f>
        <v>193991.01</v>
      </c>
      <c r="S368" s="12">
        <f>ROUND((Source!DO203/100)*ROUND((ROUND((Source!AF203*Source!AV203*Source!I203),2)),2), 2)</f>
        <v>3319.12</v>
      </c>
      <c r="T368" s="12">
        <f>Source!Y203</f>
        <v>79623.179999999993</v>
      </c>
      <c r="U368" s="12">
        <f>ROUND((175/100)*ROUND((ROUND((Source!AE203*Source!AV203*Source!I203),2)),2), 2)</f>
        <v>4846.82</v>
      </c>
      <c r="V368" s="12">
        <f>ROUND((160/100)*ROUND(ROUND((ROUND((Source!AE203*Source!AV203*Source!I203),2)*Source!BS203),2), 2), 2)</f>
        <v>206812.32</v>
      </c>
      <c r="AI368" s="12">
        <v>0</v>
      </c>
    </row>
    <row r="369" spans="1:35">
      <c r="C369" s="27" t="str">
        <f>"Объем: "&amp;Source!I203&amp;"=(5679)/"&amp;"100"</f>
        <v>Объем: 56,79=(5679)/100</v>
      </c>
    </row>
    <row r="370" spans="1:35" ht="15">
      <c r="A370" s="22"/>
      <c r="B370" s="22"/>
      <c r="C370" s="22" t="s">
        <v>324</v>
      </c>
      <c r="D370" s="23"/>
      <c r="E370" s="24"/>
      <c r="F370" s="25">
        <f>Source!AO203</f>
        <v>52.17</v>
      </c>
      <c r="G370" s="26" t="str">
        <f>Source!DG203</f>
        <v/>
      </c>
      <c r="H370" s="24">
        <f>Source!AV203</f>
        <v>1.0469999999999999</v>
      </c>
      <c r="I370" s="25">
        <f>ROUND((ROUND((Source!AF203*Source!AV203*Source!I203),2)),2)</f>
        <v>3101.98</v>
      </c>
      <c r="J370" s="24">
        <f>IF(Source!BA203&lt;&gt; 0, Source!BA203, 1)</f>
        <v>46.67</v>
      </c>
      <c r="K370" s="25">
        <f>Source!S203</f>
        <v>144769.41</v>
      </c>
      <c r="W370" s="12">
        <f>I370</f>
        <v>3101.98</v>
      </c>
    </row>
    <row r="371" spans="1:35" ht="15">
      <c r="A371" s="22"/>
      <c r="B371" s="22"/>
      <c r="C371" s="22" t="s">
        <v>325</v>
      </c>
      <c r="D371" s="23"/>
      <c r="E371" s="24"/>
      <c r="F371" s="25">
        <f>Source!AM203</f>
        <v>532.35</v>
      </c>
      <c r="G371" s="26" t="str">
        <f>Source!DE203</f>
        <v/>
      </c>
      <c r="H371" s="24">
        <f>Source!AV203</f>
        <v>1.0469999999999999</v>
      </c>
      <c r="I371" s="25">
        <f>(ROUND((ROUND(((Source!ET203)*Source!AV203*Source!I203),2)),2)+ROUND((ROUND(((Source!AE203-(Source!EU203))*Source!AV203*Source!I203),2)),2))</f>
        <v>31653.07</v>
      </c>
      <c r="J371" s="24">
        <f>IF(Source!BB203&lt;&gt; 0, Source!BB203, 1)</f>
        <v>13.46</v>
      </c>
      <c r="K371" s="25">
        <f>Source!Q203</f>
        <v>426050.32</v>
      </c>
    </row>
    <row r="372" spans="1:35" ht="15">
      <c r="A372" s="22"/>
      <c r="B372" s="22"/>
      <c r="C372" s="22" t="s">
        <v>326</v>
      </c>
      <c r="D372" s="23"/>
      <c r="E372" s="24"/>
      <c r="F372" s="25">
        <f>Source!AN203</f>
        <v>46.58</v>
      </c>
      <c r="G372" s="26" t="str">
        <f>Source!DF203</f>
        <v/>
      </c>
      <c r="H372" s="24">
        <f>Source!AV203</f>
        <v>1.0469999999999999</v>
      </c>
      <c r="I372" s="28">
        <f>ROUND((ROUND((Source!AE203*Source!AV203*Source!I203),2)),2)</f>
        <v>2769.61</v>
      </c>
      <c r="J372" s="24">
        <f>IF(Source!BS203&lt;&gt; 0, Source!BS203, 1)</f>
        <v>46.67</v>
      </c>
      <c r="K372" s="28">
        <f>Source!R203</f>
        <v>129257.7</v>
      </c>
      <c r="W372" s="12">
        <f>I372</f>
        <v>2769.61</v>
      </c>
    </row>
    <row r="373" spans="1:35" ht="15">
      <c r="A373" s="22"/>
      <c r="B373" s="22"/>
      <c r="C373" s="22" t="s">
        <v>335</v>
      </c>
      <c r="D373" s="23"/>
      <c r="E373" s="24"/>
      <c r="F373" s="25">
        <f>Source!AL203</f>
        <v>57.83</v>
      </c>
      <c r="G373" s="26" t="str">
        <f>Source!DD203</f>
        <v/>
      </c>
      <c r="H373" s="24">
        <f>Source!AW203</f>
        <v>1</v>
      </c>
      <c r="I373" s="25">
        <f>ROUND((ROUND((Source!AC203*Source!AW203*Source!I203),2)),2)</f>
        <v>3284.17</v>
      </c>
      <c r="J373" s="24">
        <f>IF(Source!BC203&lt;&gt; 0, Source!BC203, 1)</f>
        <v>16.29</v>
      </c>
      <c r="K373" s="25">
        <f>Source!P203</f>
        <v>53499.13</v>
      </c>
    </row>
    <row r="374" spans="1:35" ht="30">
      <c r="A374" s="22" t="s">
        <v>263</v>
      </c>
      <c r="B374" s="22" t="str">
        <f>Source!F205</f>
        <v>1.3-3-9</v>
      </c>
      <c r="C374" s="22" t="s">
        <v>240</v>
      </c>
      <c r="D374" s="23" t="str">
        <f>Source!H205</f>
        <v>т</v>
      </c>
      <c r="E374" s="24">
        <f>Source!I205</f>
        <v>548.59140000000002</v>
      </c>
      <c r="F374" s="25">
        <f>Source!AK205</f>
        <v>317.29000000000002</v>
      </c>
      <c r="G374" s="29" t="s">
        <v>6</v>
      </c>
      <c r="H374" s="24">
        <f>Source!AW205</f>
        <v>1</v>
      </c>
      <c r="I374" s="25">
        <f>ROUND((ROUND((Source!AC205*Source!AW205*Source!I205),2)),2)+(ROUND((ROUND(((Source!ET205)*Source!AV205*Source!I205),2)),2)+ROUND((ROUND(((Source!AE205-(Source!EU205))*Source!AV205*Source!I205),2)),2))+ROUND((ROUND((Source!AF205*Source!AV205*Source!I205),2)),2)</f>
        <v>174062.57</v>
      </c>
      <c r="J374" s="24">
        <f>IF(Source!BC205&lt;&gt; 0, Source!BC205, 1)</f>
        <v>14.14</v>
      </c>
      <c r="K374" s="25">
        <f>Source!O205</f>
        <v>2461244.7400000002</v>
      </c>
      <c r="Q374" s="12">
        <f>ROUND((Source!DN205/100)*ROUND((ROUND((Source!AF205*Source!AV205*Source!I205),2)),2), 2)</f>
        <v>0</v>
      </c>
      <c r="R374" s="12">
        <f>Source!X205</f>
        <v>0</v>
      </c>
      <c r="S374" s="12">
        <f>ROUND((Source!DO205/100)*ROUND((ROUND((Source!AF205*Source!AV205*Source!I205),2)),2), 2)</f>
        <v>0</v>
      </c>
      <c r="T374" s="12">
        <f>Source!Y205</f>
        <v>0</v>
      </c>
      <c r="U374" s="12">
        <f>ROUND((175/100)*ROUND((ROUND((Source!AE205*Source!AV205*Source!I205),2)),2), 2)</f>
        <v>0</v>
      </c>
      <c r="V374" s="12">
        <f>ROUND((160/100)*ROUND(ROUND((ROUND((Source!AE205*Source!AV205*Source!I205),2)*Source!BS205),2), 2), 2)</f>
        <v>0</v>
      </c>
      <c r="X374" s="12">
        <f>IF(Source!BI205&lt;=1,I374, 0)</f>
        <v>174062.57</v>
      </c>
      <c r="Y374" s="12">
        <f>IF(Source!BI205=2,I374, 0)</f>
        <v>0</v>
      </c>
      <c r="Z374" s="12">
        <f>IF(Source!BI205=3,I374, 0)</f>
        <v>0</v>
      </c>
      <c r="AA374" s="12">
        <f>IF(Source!BI205=4,I374, 0)</f>
        <v>0</v>
      </c>
      <c r="AI374" s="12">
        <v>3</v>
      </c>
    </row>
    <row r="375" spans="1:35" ht="15">
      <c r="A375" s="22"/>
      <c r="B375" s="22"/>
      <c r="C375" s="22" t="s">
        <v>327</v>
      </c>
      <c r="D375" s="23" t="s">
        <v>328</v>
      </c>
      <c r="E375" s="24">
        <f>Source!DN203</f>
        <v>161</v>
      </c>
      <c r="F375" s="25"/>
      <c r="G375" s="26"/>
      <c r="H375" s="24"/>
      <c r="I375" s="25">
        <f>SUM(Q368:Q374)</f>
        <v>4994.1899999999996</v>
      </c>
      <c r="J375" s="24">
        <f>Source!BZ203</f>
        <v>134</v>
      </c>
      <c r="K375" s="25">
        <f>SUM(R368:R374)</f>
        <v>193991.01</v>
      </c>
    </row>
    <row r="376" spans="1:35" ht="15">
      <c r="A376" s="22"/>
      <c r="B376" s="22"/>
      <c r="C376" s="22" t="s">
        <v>329</v>
      </c>
      <c r="D376" s="23" t="s">
        <v>328</v>
      </c>
      <c r="E376" s="24">
        <f>Source!DO203</f>
        <v>107</v>
      </c>
      <c r="F376" s="25"/>
      <c r="G376" s="26"/>
      <c r="H376" s="24"/>
      <c r="I376" s="25">
        <f>SUM(S368:S375)</f>
        <v>3319.12</v>
      </c>
      <c r="J376" s="24">
        <f>Source!CA203</f>
        <v>55</v>
      </c>
      <c r="K376" s="25">
        <f>SUM(T368:T375)</f>
        <v>79623.179999999993</v>
      </c>
    </row>
    <row r="377" spans="1:35" ht="15">
      <c r="A377" s="22"/>
      <c r="B377" s="22"/>
      <c r="C377" s="22" t="s">
        <v>330</v>
      </c>
      <c r="D377" s="23" t="s">
        <v>328</v>
      </c>
      <c r="E377" s="24">
        <f>175</f>
        <v>175</v>
      </c>
      <c r="F377" s="25"/>
      <c r="G377" s="26"/>
      <c r="H377" s="24"/>
      <c r="I377" s="25">
        <f>SUM(U368:U376)</f>
        <v>4846.82</v>
      </c>
      <c r="J377" s="24">
        <f>160</f>
        <v>160</v>
      </c>
      <c r="K377" s="25">
        <f>SUM(V368:V376)</f>
        <v>206812.32</v>
      </c>
    </row>
    <row r="378" spans="1:35" ht="15">
      <c r="A378" s="30"/>
      <c r="B378" s="30"/>
      <c r="C378" s="30" t="s">
        <v>331</v>
      </c>
      <c r="D378" s="31" t="s">
        <v>332</v>
      </c>
      <c r="E378" s="32">
        <f>Source!AQ203</f>
        <v>4.29</v>
      </c>
      <c r="F378" s="33"/>
      <c r="G378" s="34" t="str">
        <f>Source!DI203</f>
        <v/>
      </c>
      <c r="H378" s="32">
        <f>Source!AV203</f>
        <v>1.0469999999999999</v>
      </c>
      <c r="I378" s="33">
        <f>Source!U203</f>
        <v>255.07966769999999</v>
      </c>
      <c r="J378" s="32"/>
      <c r="K378" s="33"/>
      <c r="AB378" s="35">
        <f>I378</f>
        <v>255.07966769999999</v>
      </c>
    </row>
    <row r="379" spans="1:35" ht="14.25">
      <c r="C379" s="16" t="s">
        <v>333</v>
      </c>
      <c r="H379" s="40">
        <f>I370+I371+I373+I375+I376+I377+SUM(I374:I374)-SUMIF(AI374:AI374, 5, I374:I374)-SUMIF(AI374:AI374, 6, I374:I374)</f>
        <v>225261.92</v>
      </c>
      <c r="I379" s="40"/>
      <c r="J379" s="40">
        <f>K370+K371+K373+K375+K376+K377+SUM(K374:K374)-SUMIF(AI374:AI374, 5, K374:K374)-SUMIF(AI374:AI374, 6, K374:K374)</f>
        <v>3565990.1100000003</v>
      </c>
      <c r="K379" s="40"/>
    </row>
    <row r="380" spans="1:35" ht="14.25">
      <c r="C380" s="16" t="s">
        <v>334</v>
      </c>
      <c r="H380" s="37">
        <f>SUMIF(AI374:AI374, 5, I374:I374)+SUMIF(AI374:AI374, 6, I374:I374)</f>
        <v>0</v>
      </c>
      <c r="I380" s="37"/>
      <c r="J380" s="37">
        <f>SUMIF(AI374:AI374, 5, K374:K374)+SUMIF(AI374:AI374, 6, K374:K374)</f>
        <v>0</v>
      </c>
      <c r="K380" s="37"/>
    </row>
    <row r="381" spans="1:35" ht="14.25">
      <c r="H381" s="37"/>
      <c r="I381" s="37"/>
      <c r="J381" s="37"/>
      <c r="K381" s="37"/>
      <c r="O381" s="35">
        <f>I370+I371+I373+I375+I376+I377+SUM(I374:I374)</f>
        <v>225261.92</v>
      </c>
      <c r="P381" s="35">
        <f>K370+K371+K373+K375+K376+K377+SUM(K374:K374)</f>
        <v>3565990.1100000003</v>
      </c>
      <c r="X381" s="12">
        <f>IF(Source!BI203&lt;=1,I370+I371+I373+I375+I376+I377-0, 0)</f>
        <v>51199.350000000006</v>
      </c>
      <c r="Y381" s="12">
        <f>IF(Source!BI203=2,I370+I371+I373+I375+I376+I377-0, 0)</f>
        <v>0</v>
      </c>
      <c r="Z381" s="12">
        <f>IF(Source!BI203=3,I370+I371+I373+I375+I376+I377-0, 0)</f>
        <v>0</v>
      </c>
      <c r="AA381" s="12">
        <f>IF(Source!BI203=4,I370+I371+I373+I375+I376+I377,0)</f>
        <v>0</v>
      </c>
    </row>
    <row r="383" spans="1:35" ht="45">
      <c r="A383" s="22">
        <v>26</v>
      </c>
      <c r="B383" s="22" t="str">
        <f>Source!F207</f>
        <v>3.27-43-1</v>
      </c>
      <c r="C383" s="22" t="s">
        <v>265</v>
      </c>
      <c r="D383" s="23" t="str">
        <f>Source!H207</f>
        <v>100 м2 покрытия</v>
      </c>
      <c r="E383" s="24">
        <f>Source!I207</f>
        <v>56.79</v>
      </c>
      <c r="F383" s="25"/>
      <c r="G383" s="26"/>
      <c r="H383" s="24"/>
      <c r="I383" s="25"/>
      <c r="J383" s="24"/>
      <c r="K383" s="25"/>
      <c r="Q383" s="12">
        <f>ROUND((Source!DN207/100)*ROUND((ROUND((Source!AF207*Source!AV207*Source!I207),2)),2), 2)</f>
        <v>663.4</v>
      </c>
      <c r="R383" s="12">
        <f>Source!X207</f>
        <v>25768.7</v>
      </c>
      <c r="S383" s="12">
        <f>ROUND((Source!DO207/100)*ROUND((ROUND((Source!AF207*Source!AV207*Source!I207),2)),2), 2)</f>
        <v>440.89</v>
      </c>
      <c r="T383" s="12">
        <f>Source!Y207</f>
        <v>10576.7</v>
      </c>
      <c r="U383" s="12">
        <f>ROUND((175/100)*ROUND((ROUND((Source!AE207*Source!AV207*Source!I207),2)),2), 2)</f>
        <v>226.84</v>
      </c>
      <c r="V383" s="12">
        <f>ROUND((160/100)*ROUND(ROUND((ROUND((Source!AE207*Source!AV207*Source!I207),2)*Source!BS207),2), 2), 2)</f>
        <v>9678.99</v>
      </c>
      <c r="AI383" s="12">
        <v>0</v>
      </c>
    </row>
    <row r="384" spans="1:35">
      <c r="C384" s="27" t="str">
        <f>"Объем: "&amp;Source!I207&amp;"=(5679)/"&amp;"100"</f>
        <v>Объем: 56,79=(5679)/100</v>
      </c>
    </row>
    <row r="385" spans="1:43" ht="15">
      <c r="A385" s="22"/>
      <c r="B385" s="22"/>
      <c r="C385" s="22" t="s">
        <v>324</v>
      </c>
      <c r="D385" s="23"/>
      <c r="E385" s="24"/>
      <c r="F385" s="25">
        <f>Source!AO207</f>
        <v>6.93</v>
      </c>
      <c r="G385" s="26" t="str">
        <f>Source!DG207</f>
        <v/>
      </c>
      <c r="H385" s="24">
        <f>Source!AV207</f>
        <v>1.0469999999999999</v>
      </c>
      <c r="I385" s="25">
        <f>ROUND((ROUND((Source!AF207*Source!AV207*Source!I207),2)),2)</f>
        <v>412.05</v>
      </c>
      <c r="J385" s="24">
        <f>IF(Source!BA207&lt;&gt; 0, Source!BA207, 1)</f>
        <v>46.67</v>
      </c>
      <c r="K385" s="25">
        <f>Source!S207</f>
        <v>19230.37</v>
      </c>
      <c r="W385" s="12">
        <f>I385</f>
        <v>412.05</v>
      </c>
    </row>
    <row r="386" spans="1:43" ht="15">
      <c r="A386" s="22"/>
      <c r="B386" s="22"/>
      <c r="C386" s="22" t="s">
        <v>325</v>
      </c>
      <c r="D386" s="23"/>
      <c r="E386" s="24"/>
      <c r="F386" s="25">
        <f>Source!AM207</f>
        <v>32.840000000000003</v>
      </c>
      <c r="G386" s="26" t="str">
        <f>Source!DE207</f>
        <v/>
      </c>
      <c r="H386" s="24">
        <f>Source!AV207</f>
        <v>1.0469999999999999</v>
      </c>
      <c r="I386" s="25">
        <f>(ROUND((ROUND(((Source!ET207)*Source!AV207*Source!I207),2)),2)+ROUND((ROUND(((Source!AE207-(Source!EU207))*Source!AV207*Source!I207),2)),2))</f>
        <v>1952.64</v>
      </c>
      <c r="J386" s="24">
        <f>IF(Source!BB207&lt;&gt; 0, Source!BB207, 1)</f>
        <v>13.04</v>
      </c>
      <c r="K386" s="25">
        <f>Source!Q207</f>
        <v>25462.43</v>
      </c>
    </row>
    <row r="387" spans="1:43" ht="15">
      <c r="A387" s="22"/>
      <c r="B387" s="22"/>
      <c r="C387" s="22" t="s">
        <v>326</v>
      </c>
      <c r="D387" s="23"/>
      <c r="E387" s="24"/>
      <c r="F387" s="25">
        <f>Source!AN207</f>
        <v>2.1800000000000002</v>
      </c>
      <c r="G387" s="26" t="str">
        <f>Source!DF207</f>
        <v/>
      </c>
      <c r="H387" s="24">
        <f>Source!AV207</f>
        <v>1.0469999999999999</v>
      </c>
      <c r="I387" s="28">
        <f>ROUND((ROUND((Source!AE207*Source!AV207*Source!I207),2)),2)</f>
        <v>129.62</v>
      </c>
      <c r="J387" s="24">
        <f>IF(Source!BS207&lt;&gt; 0, Source!BS207, 1)</f>
        <v>46.67</v>
      </c>
      <c r="K387" s="28">
        <f>Source!R207</f>
        <v>6049.37</v>
      </c>
      <c r="W387" s="12">
        <f>I387</f>
        <v>129.62</v>
      </c>
    </row>
    <row r="388" spans="1:43" ht="30">
      <c r="A388" s="22" t="s">
        <v>266</v>
      </c>
      <c r="B388" s="22" t="str">
        <f>Source!F209</f>
        <v>1.3-3-9</v>
      </c>
      <c r="C388" s="22" t="s">
        <v>240</v>
      </c>
      <c r="D388" s="23" t="str">
        <f>Source!H209</f>
        <v>т</v>
      </c>
      <c r="E388" s="24">
        <f>Source!I209</f>
        <v>137.43180000000001</v>
      </c>
      <c r="F388" s="25">
        <f>Source!AK209</f>
        <v>317.29000000000002</v>
      </c>
      <c r="G388" s="29" t="s">
        <v>6</v>
      </c>
      <c r="H388" s="24">
        <f>Source!AW209</f>
        <v>1</v>
      </c>
      <c r="I388" s="25">
        <f>ROUND((ROUND((Source!AC209*Source!AW209*Source!I209),2)),2)+(ROUND((ROUND(((Source!ET209)*Source!AV209*Source!I209),2)),2)+ROUND((ROUND(((Source!AE209-(Source!EU209))*Source!AV209*Source!I209),2)),2))+ROUND((ROUND((Source!AF209*Source!AV209*Source!I209),2)),2)</f>
        <v>43605.74</v>
      </c>
      <c r="J388" s="24">
        <f>IF(Source!BC209&lt;&gt; 0, Source!BC209, 1)</f>
        <v>14.14</v>
      </c>
      <c r="K388" s="25">
        <f>Source!O209</f>
        <v>616585.16</v>
      </c>
      <c r="Q388" s="12">
        <f>ROUND((Source!DN209/100)*ROUND((ROUND((Source!AF209*Source!AV209*Source!I209),2)),2), 2)</f>
        <v>0</v>
      </c>
      <c r="R388" s="12">
        <f>Source!X209</f>
        <v>0</v>
      </c>
      <c r="S388" s="12">
        <f>ROUND((Source!DO209/100)*ROUND((ROUND((Source!AF209*Source!AV209*Source!I209),2)),2), 2)</f>
        <v>0</v>
      </c>
      <c r="T388" s="12">
        <f>Source!Y209</f>
        <v>0</v>
      </c>
      <c r="U388" s="12">
        <f>ROUND((175/100)*ROUND((ROUND((Source!AE209*Source!AV209*Source!I209),2)),2), 2)</f>
        <v>0</v>
      </c>
      <c r="V388" s="12">
        <f>ROUND((160/100)*ROUND(ROUND((ROUND((Source!AE209*Source!AV209*Source!I209),2)*Source!BS209),2), 2), 2)</f>
        <v>0</v>
      </c>
      <c r="X388" s="12">
        <f>IF(Source!BI209&lt;=1,I388, 0)</f>
        <v>43605.74</v>
      </c>
      <c r="Y388" s="12">
        <f>IF(Source!BI209=2,I388, 0)</f>
        <v>0</v>
      </c>
      <c r="Z388" s="12">
        <f>IF(Source!BI209=3,I388, 0)</f>
        <v>0</v>
      </c>
      <c r="AA388" s="12">
        <f>IF(Source!BI209=4,I388, 0)</f>
        <v>0</v>
      </c>
      <c r="AI388" s="12">
        <v>3</v>
      </c>
    </row>
    <row r="389" spans="1:43" ht="15">
      <c r="A389" s="22"/>
      <c r="B389" s="22"/>
      <c r="C389" s="22" t="s">
        <v>327</v>
      </c>
      <c r="D389" s="23" t="s">
        <v>328</v>
      </c>
      <c r="E389" s="24">
        <f>Source!DN207</f>
        <v>161</v>
      </c>
      <c r="F389" s="25"/>
      <c r="G389" s="26"/>
      <c r="H389" s="24"/>
      <c r="I389" s="25">
        <f>SUM(Q383:Q388)</f>
        <v>663.4</v>
      </c>
      <c r="J389" s="24">
        <f>Source!BZ207</f>
        <v>134</v>
      </c>
      <c r="K389" s="25">
        <f>SUM(R383:R388)</f>
        <v>25768.7</v>
      </c>
    </row>
    <row r="390" spans="1:43" ht="15">
      <c r="A390" s="22"/>
      <c r="B390" s="22"/>
      <c r="C390" s="22" t="s">
        <v>329</v>
      </c>
      <c r="D390" s="23" t="s">
        <v>328</v>
      </c>
      <c r="E390" s="24">
        <f>Source!DO207</f>
        <v>107</v>
      </c>
      <c r="F390" s="25"/>
      <c r="G390" s="26"/>
      <c r="H390" s="24"/>
      <c r="I390" s="25">
        <f>SUM(S383:S389)</f>
        <v>440.89</v>
      </c>
      <c r="J390" s="24">
        <f>Source!CA207</f>
        <v>55</v>
      </c>
      <c r="K390" s="25">
        <f>SUM(T383:T389)</f>
        <v>10576.7</v>
      </c>
    </row>
    <row r="391" spans="1:43" ht="15">
      <c r="A391" s="22"/>
      <c r="B391" s="22"/>
      <c r="C391" s="22" t="s">
        <v>330</v>
      </c>
      <c r="D391" s="23" t="s">
        <v>328</v>
      </c>
      <c r="E391" s="24">
        <f>175</f>
        <v>175</v>
      </c>
      <c r="F391" s="25"/>
      <c r="G391" s="26"/>
      <c r="H391" s="24"/>
      <c r="I391" s="25">
        <f>SUM(U383:U390)</f>
        <v>226.84</v>
      </c>
      <c r="J391" s="24">
        <f>160</f>
        <v>160</v>
      </c>
      <c r="K391" s="25">
        <f>SUM(V383:V390)</f>
        <v>9678.99</v>
      </c>
    </row>
    <row r="392" spans="1:43" ht="15">
      <c r="A392" s="30"/>
      <c r="B392" s="30"/>
      <c r="C392" s="30" t="s">
        <v>331</v>
      </c>
      <c r="D392" s="31" t="s">
        <v>332</v>
      </c>
      <c r="E392" s="32">
        <f>Source!AQ207</f>
        <v>0.53</v>
      </c>
      <c r="F392" s="33"/>
      <c r="G392" s="34" t="str">
        <f>Source!DI207</f>
        <v/>
      </c>
      <c r="H392" s="32">
        <f>Source!AV207</f>
        <v>1.0469999999999999</v>
      </c>
      <c r="I392" s="33">
        <f>Source!U207</f>
        <v>31.513338900000001</v>
      </c>
      <c r="J392" s="32"/>
      <c r="K392" s="33"/>
      <c r="AB392" s="35">
        <f>I392</f>
        <v>31.513338900000001</v>
      </c>
    </row>
    <row r="393" spans="1:43" ht="14.25">
      <c r="C393" s="16" t="s">
        <v>333</v>
      </c>
      <c r="H393" s="40">
        <f>I385+I386+I389+I390+I391+SUM(I388:I388)-SUMIF(AI388:AI388, 5, I388:I388)-SUMIF(AI388:AI388, 6, I388:I388)</f>
        <v>47301.56</v>
      </c>
      <c r="I393" s="40"/>
      <c r="J393" s="40">
        <f>K385+K386+K389+K390+K391+SUM(K388:K388)-SUMIF(AI388:AI388, 5, K388:K388)-SUMIF(AI388:AI388, 6, K388:K388)</f>
        <v>707302.35000000009</v>
      </c>
      <c r="K393" s="40"/>
    </row>
    <row r="394" spans="1:43" ht="14.25">
      <c r="C394" s="16" t="s">
        <v>334</v>
      </c>
      <c r="H394" s="37">
        <f>SUMIF(AI388:AI388, 5, I388:I388)+SUMIF(AI388:AI388, 6, I388:I388)</f>
        <v>0</v>
      </c>
      <c r="I394" s="37"/>
      <c r="J394" s="37">
        <f>SUMIF(AI388:AI388, 5, K388:K388)+SUMIF(AI388:AI388, 6, K388:K388)</f>
        <v>0</v>
      </c>
      <c r="K394" s="37"/>
    </row>
    <row r="395" spans="1:43" ht="14.25">
      <c r="H395" s="37"/>
      <c r="I395" s="37"/>
      <c r="J395" s="37"/>
      <c r="K395" s="37"/>
      <c r="O395" s="35">
        <f>I385+I386+I389+I390+I391+SUM(I388:I388)</f>
        <v>47301.56</v>
      </c>
      <c r="P395" s="35">
        <f>K385+K386+K389+K390+K391+SUM(K388:K388)</f>
        <v>707302.35000000009</v>
      </c>
      <c r="X395" s="12">
        <f>IF(Source!BI207&lt;=1,I385+I386+I389+I390+I391-0, 0)</f>
        <v>3695.82</v>
      </c>
      <c r="Y395" s="12">
        <f>IF(Source!BI207=2,I385+I386+I389+I390+I391-0, 0)</f>
        <v>0</v>
      </c>
      <c r="Z395" s="12">
        <f>IF(Source!BI207=3,I385+I386+I389+I390+I391-0, 0)</f>
        <v>0</v>
      </c>
      <c r="AA395" s="12">
        <f>IF(Source!BI207=4,I385+I386+I389+I390+I391,0)</f>
        <v>0</v>
      </c>
    </row>
    <row r="396" spans="1:43" ht="28.5">
      <c r="A396" s="39" t="str">
        <f>CONCATENATE("Итого по подразделу: ",IF(Source!G222&lt;&gt;"Новый подраздел", Source!G222, ""))</f>
        <v>Итого по подразделу: Разборка и восстановление  покрытий  направлением  СП 60401 - ТП 28274</v>
      </c>
      <c r="B396" s="39"/>
      <c r="C396" s="39"/>
      <c r="D396" s="39"/>
      <c r="E396" s="39"/>
      <c r="F396" s="39"/>
      <c r="G396" s="39"/>
      <c r="H396" s="37">
        <f>SUM(O142:O395)</f>
        <v>871132.83000000007</v>
      </c>
      <c r="I396" s="38"/>
      <c r="J396" s="37">
        <f>SUM(P142:P395)</f>
        <v>13319985.549999999</v>
      </c>
      <c r="K396" s="38"/>
      <c r="AQ396" s="36" t="str">
        <f>CONCATENATE("Итого по подразделу: ",IF(Source!G222&lt;&gt;"Новый подраздел", Source!G222, ""))</f>
        <v>Итого по подразделу: Разборка и восстановление  покрытий  направлением  СП 60401 - ТП 28274</v>
      </c>
    </row>
    <row r="397" spans="1:43" hidden="1">
      <c r="A397" s="12" t="s">
        <v>336</v>
      </c>
      <c r="H397" s="12">
        <f>SUM(AC142:AC396)</f>
        <v>0</v>
      </c>
      <c r="J397" s="12">
        <f>SUM(AD142:AD396)</f>
        <v>0</v>
      </c>
    </row>
    <row r="398" spans="1:43" hidden="1">
      <c r="A398" s="12" t="s">
        <v>337</v>
      </c>
      <c r="H398" s="12">
        <f>SUM(AE142:AE397)</f>
        <v>0</v>
      </c>
      <c r="J398" s="12">
        <f>SUM(AF142:AF397)</f>
        <v>0</v>
      </c>
    </row>
    <row r="400" spans="1:43" ht="14.25">
      <c r="A400" s="39" t="str">
        <f>CONCATENATE("Итого по разделу: ",IF(Source!G252&lt;&gt;"Новый раздел", Source!G252, ""))</f>
        <v>Итого по разделу: Благоустройство</v>
      </c>
      <c r="B400" s="39"/>
      <c r="C400" s="39"/>
      <c r="D400" s="39"/>
      <c r="E400" s="39"/>
      <c r="F400" s="39"/>
      <c r="G400" s="39"/>
      <c r="H400" s="37">
        <f>SUM(O140:O399)</f>
        <v>871132.83000000007</v>
      </c>
      <c r="I400" s="38"/>
      <c r="J400" s="37">
        <f>SUM(P140:P399)</f>
        <v>13319985.549999999</v>
      </c>
      <c r="K400" s="38"/>
    </row>
    <row r="401" spans="1:11" hidden="1">
      <c r="A401" s="12" t="s">
        <v>336</v>
      </c>
      <c r="H401" s="12">
        <f>SUM(AC140:AC400)</f>
        <v>0</v>
      </c>
      <c r="J401" s="12">
        <f>SUM(AD140:AD400)</f>
        <v>0</v>
      </c>
    </row>
    <row r="402" spans="1:11" hidden="1">
      <c r="A402" s="12" t="s">
        <v>337</v>
      </c>
      <c r="H402" s="12">
        <f>SUM(AE140:AE401)</f>
        <v>0</v>
      </c>
      <c r="J402" s="12">
        <f>SUM(AF140:AF401)</f>
        <v>0</v>
      </c>
    </row>
    <row r="404" spans="1:11" ht="14.25">
      <c r="A404" s="39" t="str">
        <f>CONCATENATE("Итого по локальной смете: ",IF(Source!G282&lt;&gt;"Новая локальная смета", Source!G282, ""))</f>
        <v>Итого по локальной смете: Благоустройство</v>
      </c>
      <c r="B404" s="39"/>
      <c r="C404" s="39"/>
      <c r="D404" s="39"/>
      <c r="E404" s="39"/>
      <c r="F404" s="39"/>
      <c r="G404" s="39"/>
      <c r="H404" s="37">
        <f>SUM(O28:O403)</f>
        <v>1002039.0700000001</v>
      </c>
      <c r="I404" s="38"/>
      <c r="J404" s="37">
        <f>SUM(P28:P403)</f>
        <v>15411306.1</v>
      </c>
      <c r="K404" s="38"/>
    </row>
    <row r="405" spans="1:11" hidden="1">
      <c r="A405" s="12" t="s">
        <v>336</v>
      </c>
      <c r="H405" s="12">
        <f>SUM(AC28:AC404)</f>
        <v>0</v>
      </c>
      <c r="J405" s="12">
        <f>SUM(AD28:AD404)</f>
        <v>0</v>
      </c>
    </row>
    <row r="406" spans="1:11" hidden="1">
      <c r="A406" s="12" t="s">
        <v>337</v>
      </c>
      <c r="H406" s="12">
        <f>SUM(AE28:AE405)</f>
        <v>0</v>
      </c>
      <c r="J406" s="12">
        <f>SUM(AF28:AF405)</f>
        <v>0</v>
      </c>
    </row>
  </sheetData>
  <mergeCells count="198">
    <mergeCell ref="J1:K1"/>
    <mergeCell ref="A28:K28"/>
    <mergeCell ref="E13:H13"/>
    <mergeCell ref="E14:H14"/>
    <mergeCell ref="E15:H15"/>
    <mergeCell ref="E16:H16"/>
    <mergeCell ref="E17:H17"/>
    <mergeCell ref="E18:H18"/>
    <mergeCell ref="A2:K2"/>
    <mergeCell ref="A3:K3"/>
    <mergeCell ref="A5:K5"/>
    <mergeCell ref="A7:K7"/>
    <mergeCell ref="A8:K8"/>
    <mergeCell ref="A10:K10"/>
    <mergeCell ref="A30:K30"/>
    <mergeCell ref="A32:K32"/>
    <mergeCell ref="B34:J34"/>
    <mergeCell ref="H45:I45"/>
    <mergeCell ref="J45:K45"/>
    <mergeCell ref="H46:I46"/>
    <mergeCell ref="J46:K46"/>
    <mergeCell ref="E19:H19"/>
    <mergeCell ref="E20:H20"/>
    <mergeCell ref="E21:H21"/>
    <mergeCell ref="A24:K24"/>
    <mergeCell ref="J58:K58"/>
    <mergeCell ref="H58:I58"/>
    <mergeCell ref="H67:I67"/>
    <mergeCell ref="J67:K67"/>
    <mergeCell ref="H68:I68"/>
    <mergeCell ref="J68:K68"/>
    <mergeCell ref="J47:K47"/>
    <mergeCell ref="H47:I47"/>
    <mergeCell ref="H56:I56"/>
    <mergeCell ref="J56:K56"/>
    <mergeCell ref="H57:I57"/>
    <mergeCell ref="J57:K57"/>
    <mergeCell ref="J80:K80"/>
    <mergeCell ref="H80:I80"/>
    <mergeCell ref="B83:J83"/>
    <mergeCell ref="H94:I94"/>
    <mergeCell ref="J94:K94"/>
    <mergeCell ref="H95:I95"/>
    <mergeCell ref="J95:K95"/>
    <mergeCell ref="J69:K69"/>
    <mergeCell ref="H69:I69"/>
    <mergeCell ref="H78:I78"/>
    <mergeCell ref="J78:K78"/>
    <mergeCell ref="H79:I79"/>
    <mergeCell ref="J79:K79"/>
    <mergeCell ref="J107:K107"/>
    <mergeCell ref="H107:I107"/>
    <mergeCell ref="H116:I116"/>
    <mergeCell ref="J116:K116"/>
    <mergeCell ref="H117:I117"/>
    <mergeCell ref="J117:K117"/>
    <mergeCell ref="J96:K96"/>
    <mergeCell ref="H96:I96"/>
    <mergeCell ref="H105:I105"/>
    <mergeCell ref="J105:K105"/>
    <mergeCell ref="H106:I106"/>
    <mergeCell ref="J106:K106"/>
    <mergeCell ref="J129:K129"/>
    <mergeCell ref="H129:I129"/>
    <mergeCell ref="J132:K132"/>
    <mergeCell ref="H132:I132"/>
    <mergeCell ref="A132:G132"/>
    <mergeCell ref="J136:K136"/>
    <mergeCell ref="H136:I136"/>
    <mergeCell ref="A136:G136"/>
    <mergeCell ref="J118:K118"/>
    <mergeCell ref="H118:I118"/>
    <mergeCell ref="H127:I127"/>
    <mergeCell ref="J127:K127"/>
    <mergeCell ref="H128:I128"/>
    <mergeCell ref="J128:K128"/>
    <mergeCell ref="J156:K156"/>
    <mergeCell ref="H156:I156"/>
    <mergeCell ref="H167:I167"/>
    <mergeCell ref="J167:K167"/>
    <mergeCell ref="H168:I168"/>
    <mergeCell ref="J168:K168"/>
    <mergeCell ref="A140:K140"/>
    <mergeCell ref="A142:K142"/>
    <mergeCell ref="B144:J144"/>
    <mergeCell ref="H154:I154"/>
    <mergeCell ref="J154:K154"/>
    <mergeCell ref="H155:I155"/>
    <mergeCell ref="J155:K155"/>
    <mergeCell ref="J182:K182"/>
    <mergeCell ref="H182:I182"/>
    <mergeCell ref="H189:I189"/>
    <mergeCell ref="J189:K189"/>
    <mergeCell ref="H190:I190"/>
    <mergeCell ref="J190:K190"/>
    <mergeCell ref="J169:K169"/>
    <mergeCell ref="H169:I169"/>
    <mergeCell ref="H180:I180"/>
    <mergeCell ref="J180:K180"/>
    <mergeCell ref="H181:I181"/>
    <mergeCell ref="J181:K181"/>
    <mergeCell ref="J208:K208"/>
    <mergeCell ref="H208:I208"/>
    <mergeCell ref="H221:I221"/>
    <mergeCell ref="J221:K221"/>
    <mergeCell ref="H222:I222"/>
    <mergeCell ref="J222:K222"/>
    <mergeCell ref="J191:K191"/>
    <mergeCell ref="H191:I191"/>
    <mergeCell ref="B194:J194"/>
    <mergeCell ref="H206:I206"/>
    <mergeCell ref="J206:K206"/>
    <mergeCell ref="H207:I207"/>
    <mergeCell ref="J207:K207"/>
    <mergeCell ref="J238:K238"/>
    <mergeCell ref="H238:I238"/>
    <mergeCell ref="H251:I251"/>
    <mergeCell ref="J251:K251"/>
    <mergeCell ref="H252:I252"/>
    <mergeCell ref="J252:K252"/>
    <mergeCell ref="J223:K223"/>
    <mergeCell ref="H223:I223"/>
    <mergeCell ref="H236:I236"/>
    <mergeCell ref="J236:K236"/>
    <mergeCell ref="H237:I237"/>
    <mergeCell ref="J237:K237"/>
    <mergeCell ref="J268:K268"/>
    <mergeCell ref="H268:I268"/>
    <mergeCell ref="H277:I277"/>
    <mergeCell ref="J277:K277"/>
    <mergeCell ref="H278:I278"/>
    <mergeCell ref="J278:K278"/>
    <mergeCell ref="J253:K253"/>
    <mergeCell ref="H253:I253"/>
    <mergeCell ref="H266:I266"/>
    <mergeCell ref="J266:K266"/>
    <mergeCell ref="H267:I267"/>
    <mergeCell ref="J267:K267"/>
    <mergeCell ref="J294:K294"/>
    <mergeCell ref="H294:I294"/>
    <mergeCell ref="H305:I305"/>
    <mergeCell ref="J305:K305"/>
    <mergeCell ref="H306:I306"/>
    <mergeCell ref="J306:K306"/>
    <mergeCell ref="J279:K279"/>
    <mergeCell ref="H279:I279"/>
    <mergeCell ref="H292:I292"/>
    <mergeCell ref="J292:K292"/>
    <mergeCell ref="H293:I293"/>
    <mergeCell ref="J293:K293"/>
    <mergeCell ref="J322:K322"/>
    <mergeCell ref="H322:I322"/>
    <mergeCell ref="H334:I334"/>
    <mergeCell ref="J334:K334"/>
    <mergeCell ref="H335:I335"/>
    <mergeCell ref="J335:K335"/>
    <mergeCell ref="J307:K307"/>
    <mergeCell ref="H307:I307"/>
    <mergeCell ref="H320:I320"/>
    <mergeCell ref="J320:K320"/>
    <mergeCell ref="H321:I321"/>
    <mergeCell ref="J321:K321"/>
    <mergeCell ref="J352:K352"/>
    <mergeCell ref="H352:I352"/>
    <mergeCell ref="H364:I364"/>
    <mergeCell ref="J364:K364"/>
    <mergeCell ref="H365:I365"/>
    <mergeCell ref="J365:K365"/>
    <mergeCell ref="J336:K336"/>
    <mergeCell ref="H336:I336"/>
    <mergeCell ref="B339:J339"/>
    <mergeCell ref="H350:I350"/>
    <mergeCell ref="J350:K350"/>
    <mergeCell ref="H351:I351"/>
    <mergeCell ref="J351:K351"/>
    <mergeCell ref="J381:K381"/>
    <mergeCell ref="H381:I381"/>
    <mergeCell ref="H393:I393"/>
    <mergeCell ref="J393:K393"/>
    <mergeCell ref="H394:I394"/>
    <mergeCell ref="J394:K394"/>
    <mergeCell ref="J366:K366"/>
    <mergeCell ref="H366:I366"/>
    <mergeCell ref="H379:I379"/>
    <mergeCell ref="J379:K379"/>
    <mergeCell ref="H380:I380"/>
    <mergeCell ref="J380:K380"/>
    <mergeCell ref="J400:K400"/>
    <mergeCell ref="H400:I400"/>
    <mergeCell ref="A400:G400"/>
    <mergeCell ref="J404:K404"/>
    <mergeCell ref="H404:I404"/>
    <mergeCell ref="A404:G404"/>
    <mergeCell ref="J395:K395"/>
    <mergeCell ref="H395:I395"/>
    <mergeCell ref="J396:K396"/>
    <mergeCell ref="H396:I396"/>
    <mergeCell ref="A396:G396"/>
  </mergeCells>
  <pageMargins left="0.4" right="0.2" top="0.4" bottom="0.4" header="0.2" footer="0.2"/>
  <pageSetup paperSize="9" scale="67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358"/>
  <sheetViews>
    <sheetView workbookViewId="0">
      <selection activeCell="J1" sqref="J1"/>
    </sheetView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351</v>
      </c>
      <c r="C12" s="1">
        <v>0</v>
      </c>
      <c r="D12" s="1">
        <f>ROW(A312)</f>
        <v>312</v>
      </c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8200</v>
      </c>
      <c r="CI12" s="1" t="s">
        <v>6</v>
      </c>
      <c r="CJ12" s="1" t="s">
        <v>6</v>
      </c>
      <c r="CK12" s="1">
        <v>75</v>
      </c>
      <c r="CL12" s="1"/>
      <c r="CM12" s="1"/>
      <c r="CN12" s="1"/>
      <c r="CO12" s="1"/>
      <c r="CP12" s="1"/>
      <c r="CQ12" s="1" t="s">
        <v>13</v>
      </c>
      <c r="CR12" s="1" t="s">
        <v>14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6</v>
      </c>
      <c r="DA12" s="1" t="s">
        <v>6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55">
      <c r="A18" s="3">
        <v>52</v>
      </c>
      <c r="B18" s="3">
        <f t="shared" ref="B18:G18" si="0">B312</f>
        <v>351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>(ТСН-2001 (Мосгосэкспертиза))</v>
      </c>
      <c r="G18" s="3" t="str">
        <f t="shared" si="0"/>
        <v>02-01-04. Благоустройство _24.05.25.</v>
      </c>
      <c r="H18" s="3"/>
      <c r="I18" s="3"/>
      <c r="J18" s="3"/>
      <c r="K18" s="3"/>
      <c r="L18" s="3"/>
      <c r="M18" s="3"/>
      <c r="N18" s="3"/>
      <c r="O18" s="3">
        <f t="shared" ref="O18:AT18" si="1">O312</f>
        <v>903071.15</v>
      </c>
      <c r="P18" s="3">
        <f t="shared" si="1"/>
        <v>748219.78</v>
      </c>
      <c r="Q18" s="3">
        <f t="shared" si="1"/>
        <v>123726.71</v>
      </c>
      <c r="R18" s="3">
        <f t="shared" si="1"/>
        <v>11253.57</v>
      </c>
      <c r="S18" s="3">
        <f t="shared" si="1"/>
        <v>31124.66</v>
      </c>
      <c r="T18" s="3">
        <f t="shared" si="1"/>
        <v>0</v>
      </c>
      <c r="U18" s="3">
        <f t="shared" si="1"/>
        <v>2806.40689656</v>
      </c>
      <c r="V18" s="3">
        <f t="shared" si="1"/>
        <v>0</v>
      </c>
      <c r="W18" s="3">
        <f t="shared" si="1"/>
        <v>0</v>
      </c>
      <c r="X18" s="3">
        <f t="shared" si="1"/>
        <v>49345.01</v>
      </c>
      <c r="Y18" s="3">
        <f t="shared" si="1"/>
        <v>29929.119999999999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0</v>
      </c>
      <c r="AQ18" s="3">
        <f t="shared" si="1"/>
        <v>0</v>
      </c>
      <c r="AR18" s="3">
        <f t="shared" si="1"/>
        <v>1002039.07</v>
      </c>
      <c r="AS18" s="3">
        <f t="shared" si="1"/>
        <v>1002039.07</v>
      </c>
      <c r="AT18" s="3">
        <f t="shared" si="1"/>
        <v>0</v>
      </c>
      <c r="AU18" s="3">
        <f t="shared" ref="AU18:BZ18" si="2">AU312</f>
        <v>0</v>
      </c>
      <c r="AV18" s="3">
        <f t="shared" si="2"/>
        <v>748219.78</v>
      </c>
      <c r="AW18" s="3">
        <f t="shared" si="2"/>
        <v>748219.78</v>
      </c>
      <c r="AX18" s="3">
        <f t="shared" si="2"/>
        <v>0</v>
      </c>
      <c r="AY18" s="3">
        <f t="shared" si="2"/>
        <v>748219.78</v>
      </c>
      <c r="AZ18" s="3">
        <f t="shared" si="2"/>
        <v>0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CA312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DG312</f>
        <v>12215766.84</v>
      </c>
      <c r="DH18" s="4">
        <f t="shared" si="4"/>
        <v>9088956.0800000001</v>
      </c>
      <c r="DI18" s="4">
        <f t="shared" si="4"/>
        <v>1674222.9</v>
      </c>
      <c r="DJ18" s="4">
        <f t="shared" si="4"/>
        <v>525204.13</v>
      </c>
      <c r="DK18" s="4">
        <f t="shared" si="4"/>
        <v>1452587.86</v>
      </c>
      <c r="DL18" s="4">
        <f t="shared" si="4"/>
        <v>0</v>
      </c>
      <c r="DM18" s="4">
        <f t="shared" si="4"/>
        <v>2806.40689656</v>
      </c>
      <c r="DN18" s="4">
        <f t="shared" si="4"/>
        <v>0</v>
      </c>
      <c r="DO18" s="4">
        <f t="shared" si="4"/>
        <v>0</v>
      </c>
      <c r="DP18" s="4">
        <f t="shared" si="4"/>
        <v>1631315.29</v>
      </c>
      <c r="DQ18" s="4">
        <f t="shared" si="4"/>
        <v>723897.35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0</v>
      </c>
      <c r="EI18" s="4">
        <f t="shared" si="4"/>
        <v>0</v>
      </c>
      <c r="EJ18" s="4">
        <f t="shared" si="4"/>
        <v>15411306.1</v>
      </c>
      <c r="EK18" s="4">
        <f t="shared" si="4"/>
        <v>15411306.1</v>
      </c>
      <c r="EL18" s="4">
        <f t="shared" si="4"/>
        <v>0</v>
      </c>
      <c r="EM18" s="4">
        <f t="shared" ref="EM18:FR18" si="5">EM312</f>
        <v>0</v>
      </c>
      <c r="EN18" s="4">
        <f t="shared" si="5"/>
        <v>9088956.0800000001</v>
      </c>
      <c r="EO18" s="4">
        <f t="shared" si="5"/>
        <v>9088956.0800000001</v>
      </c>
      <c r="EP18" s="4">
        <f t="shared" si="5"/>
        <v>0</v>
      </c>
      <c r="EQ18" s="4">
        <f t="shared" si="5"/>
        <v>9088956.0800000001</v>
      </c>
      <c r="ER18" s="4">
        <f t="shared" si="5"/>
        <v>0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FS312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55">
      <c r="A20" s="1">
        <v>3</v>
      </c>
      <c r="B20" s="1">
        <v>1</v>
      </c>
      <c r="C20" s="1"/>
      <c r="D20" s="1">
        <f>ROW(A282)</f>
        <v>282</v>
      </c>
      <c r="E20" s="1"/>
      <c r="F20" s="1" t="s">
        <v>15</v>
      </c>
      <c r="G20" s="1" t="s">
        <v>16</v>
      </c>
      <c r="H20" s="1" t="s">
        <v>6</v>
      </c>
      <c r="I20" s="1">
        <v>0</v>
      </c>
      <c r="J20" s="1" t="s">
        <v>17</v>
      </c>
      <c r="K20" s="1">
        <v>-1</v>
      </c>
      <c r="L20" s="1" t="s">
        <v>15</v>
      </c>
      <c r="M20" s="1" t="s">
        <v>6</v>
      </c>
      <c r="N20" s="1"/>
      <c r="O20" s="1"/>
      <c r="P20" s="1"/>
      <c r="Q20" s="1"/>
      <c r="R20" s="1"/>
      <c r="S20" s="1">
        <v>0</v>
      </c>
      <c r="T20" s="1">
        <v>0</v>
      </c>
      <c r="U20" s="1" t="s">
        <v>18</v>
      </c>
      <c r="V20" s="1">
        <v>0</v>
      </c>
      <c r="W20" s="1"/>
      <c r="X20" s="1"/>
      <c r="Y20" s="1"/>
      <c r="Z20" s="1"/>
      <c r="AA20" s="1"/>
      <c r="AB20" s="1" t="s">
        <v>6</v>
      </c>
      <c r="AC20" s="1" t="s">
        <v>6</v>
      </c>
      <c r="AD20" s="1" t="s">
        <v>6</v>
      </c>
      <c r="AE20" s="1" t="s">
        <v>6</v>
      </c>
      <c r="AF20" s="1" t="s">
        <v>6</v>
      </c>
      <c r="AG20" s="1" t="s">
        <v>6</v>
      </c>
      <c r="AH20" s="1"/>
      <c r="AI20" s="1"/>
      <c r="AJ20" s="1"/>
      <c r="AK20" s="1"/>
      <c r="AL20" s="1"/>
      <c r="AM20" s="1"/>
      <c r="AN20" s="1"/>
      <c r="AO20" s="1"/>
      <c r="AP20" s="1" t="s">
        <v>6</v>
      </c>
      <c r="AQ20" s="1" t="s">
        <v>6</v>
      </c>
      <c r="AR20" s="1" t="s">
        <v>6</v>
      </c>
      <c r="AS20" s="1"/>
      <c r="AT20" s="1"/>
      <c r="AU20" s="1"/>
      <c r="AV20" s="1"/>
      <c r="AW20" s="1"/>
      <c r="AX20" s="1"/>
      <c r="AY20" s="1"/>
      <c r="AZ20" s="1" t="s">
        <v>6</v>
      </c>
      <c r="BA20" s="1"/>
      <c r="BB20" s="1" t="s">
        <v>6</v>
      </c>
      <c r="BC20" s="1" t="s">
        <v>6</v>
      </c>
      <c r="BD20" s="1" t="s">
        <v>6</v>
      </c>
      <c r="BE20" s="1" t="s">
        <v>6</v>
      </c>
      <c r="BF20" s="1" t="s">
        <v>6</v>
      </c>
      <c r="BG20" s="1" t="s">
        <v>6</v>
      </c>
      <c r="BH20" s="1" t="s">
        <v>6</v>
      </c>
      <c r="BI20" s="1" t="s">
        <v>6</v>
      </c>
      <c r="BJ20" s="1" t="s">
        <v>6</v>
      </c>
      <c r="BK20" s="1" t="s">
        <v>6</v>
      </c>
      <c r="BL20" s="1" t="s">
        <v>6</v>
      </c>
      <c r="BM20" s="1" t="s">
        <v>6</v>
      </c>
      <c r="BN20" s="1" t="s">
        <v>6</v>
      </c>
      <c r="BO20" s="1" t="s">
        <v>6</v>
      </c>
      <c r="BP20" s="1" t="s">
        <v>6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6</v>
      </c>
      <c r="CJ20" s="1" t="s">
        <v>6</v>
      </c>
      <c r="CK20" t="s">
        <v>6</v>
      </c>
      <c r="CL20" t="s">
        <v>6</v>
      </c>
      <c r="CM20" t="s">
        <v>6</v>
      </c>
      <c r="CN20" t="s">
        <v>6</v>
      </c>
      <c r="CO20" t="s">
        <v>6</v>
      </c>
      <c r="CP20" t="s">
        <v>6</v>
      </c>
      <c r="CQ20" t="s">
        <v>6</v>
      </c>
    </row>
    <row r="22" spans="1:255">
      <c r="A22" s="3">
        <v>52</v>
      </c>
      <c r="B22" s="3">
        <f t="shared" ref="B22:G22" si="7">B282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>02-01-04</v>
      </c>
      <c r="G22" s="3" t="str">
        <f t="shared" si="7"/>
        <v>Благоустройство</v>
      </c>
      <c r="H22" s="3"/>
      <c r="I22" s="3"/>
      <c r="J22" s="3"/>
      <c r="K22" s="3"/>
      <c r="L22" s="3"/>
      <c r="M22" s="3"/>
      <c r="N22" s="3"/>
      <c r="O22" s="3">
        <f t="shared" ref="O22:AT22" si="8">O282</f>
        <v>903071.15</v>
      </c>
      <c r="P22" s="3">
        <f t="shared" si="8"/>
        <v>748219.78</v>
      </c>
      <c r="Q22" s="3">
        <f t="shared" si="8"/>
        <v>123726.71</v>
      </c>
      <c r="R22" s="3">
        <f t="shared" si="8"/>
        <v>11253.57</v>
      </c>
      <c r="S22" s="3">
        <f t="shared" si="8"/>
        <v>31124.66</v>
      </c>
      <c r="T22" s="3">
        <f t="shared" si="8"/>
        <v>0</v>
      </c>
      <c r="U22" s="3">
        <f t="shared" si="8"/>
        <v>2806.40689656</v>
      </c>
      <c r="V22" s="3">
        <f t="shared" si="8"/>
        <v>0</v>
      </c>
      <c r="W22" s="3">
        <f t="shared" si="8"/>
        <v>0</v>
      </c>
      <c r="X22" s="3">
        <f t="shared" si="8"/>
        <v>49345.01</v>
      </c>
      <c r="Y22" s="3">
        <f t="shared" si="8"/>
        <v>29929.119999999999</v>
      </c>
      <c r="Z22" s="3">
        <f t="shared" si="8"/>
        <v>0</v>
      </c>
      <c r="AA22" s="3">
        <f t="shared" si="8"/>
        <v>0</v>
      </c>
      <c r="AB22" s="3">
        <f t="shared" si="8"/>
        <v>0</v>
      </c>
      <c r="AC22" s="3">
        <f t="shared" si="8"/>
        <v>0</v>
      </c>
      <c r="AD22" s="3">
        <f t="shared" si="8"/>
        <v>0</v>
      </c>
      <c r="AE22" s="3">
        <f t="shared" si="8"/>
        <v>0</v>
      </c>
      <c r="AF22" s="3">
        <f t="shared" si="8"/>
        <v>0</v>
      </c>
      <c r="AG22" s="3">
        <f t="shared" si="8"/>
        <v>0</v>
      </c>
      <c r="AH22" s="3">
        <f t="shared" si="8"/>
        <v>0</v>
      </c>
      <c r="AI22" s="3">
        <f t="shared" si="8"/>
        <v>0</v>
      </c>
      <c r="AJ22" s="3">
        <f t="shared" si="8"/>
        <v>0</v>
      </c>
      <c r="AK22" s="3">
        <f t="shared" si="8"/>
        <v>0</v>
      </c>
      <c r="AL22" s="3">
        <f t="shared" si="8"/>
        <v>0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0</v>
      </c>
      <c r="AQ22" s="3">
        <f t="shared" si="8"/>
        <v>0</v>
      </c>
      <c r="AR22" s="3">
        <f t="shared" si="8"/>
        <v>1002039.07</v>
      </c>
      <c r="AS22" s="3">
        <f t="shared" si="8"/>
        <v>1002039.07</v>
      </c>
      <c r="AT22" s="3">
        <f t="shared" si="8"/>
        <v>0</v>
      </c>
      <c r="AU22" s="3">
        <f t="shared" ref="AU22:BZ22" si="9">AU282</f>
        <v>0</v>
      </c>
      <c r="AV22" s="3">
        <f t="shared" si="9"/>
        <v>748219.78</v>
      </c>
      <c r="AW22" s="3">
        <f t="shared" si="9"/>
        <v>748219.78</v>
      </c>
      <c r="AX22" s="3">
        <f t="shared" si="9"/>
        <v>0</v>
      </c>
      <c r="AY22" s="3">
        <f t="shared" si="9"/>
        <v>748219.78</v>
      </c>
      <c r="AZ22" s="3">
        <f t="shared" si="9"/>
        <v>0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CA282</f>
        <v>0</v>
      </c>
      <c r="CB22" s="3">
        <f t="shared" si="10"/>
        <v>0</v>
      </c>
      <c r="CC22" s="3">
        <f t="shared" si="10"/>
        <v>0</v>
      </c>
      <c r="CD22" s="3">
        <f t="shared" si="10"/>
        <v>0</v>
      </c>
      <c r="CE22" s="3">
        <f t="shared" si="10"/>
        <v>0</v>
      </c>
      <c r="CF22" s="3">
        <f t="shared" si="10"/>
        <v>0</v>
      </c>
      <c r="CG22" s="3">
        <f t="shared" si="10"/>
        <v>0</v>
      </c>
      <c r="CH22" s="3">
        <f t="shared" si="10"/>
        <v>0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DG282</f>
        <v>12215766.84</v>
      </c>
      <c r="DH22" s="4">
        <f t="shared" si="11"/>
        <v>9088956.0800000001</v>
      </c>
      <c r="DI22" s="4">
        <f t="shared" si="11"/>
        <v>1674222.9</v>
      </c>
      <c r="DJ22" s="4">
        <f t="shared" si="11"/>
        <v>525204.13</v>
      </c>
      <c r="DK22" s="4">
        <f t="shared" si="11"/>
        <v>1452587.86</v>
      </c>
      <c r="DL22" s="4">
        <f t="shared" si="11"/>
        <v>0</v>
      </c>
      <c r="DM22" s="4">
        <f t="shared" si="11"/>
        <v>2806.40689656</v>
      </c>
      <c r="DN22" s="4">
        <f t="shared" si="11"/>
        <v>0</v>
      </c>
      <c r="DO22" s="4">
        <f t="shared" si="11"/>
        <v>0</v>
      </c>
      <c r="DP22" s="4">
        <f t="shared" si="11"/>
        <v>1631315.29</v>
      </c>
      <c r="DQ22" s="4">
        <f t="shared" si="11"/>
        <v>723897.35</v>
      </c>
      <c r="DR22" s="4">
        <f t="shared" si="11"/>
        <v>0</v>
      </c>
      <c r="DS22" s="4">
        <f t="shared" si="11"/>
        <v>0</v>
      </c>
      <c r="DT22" s="4">
        <f t="shared" si="11"/>
        <v>0</v>
      </c>
      <c r="DU22" s="4">
        <f t="shared" si="11"/>
        <v>0</v>
      </c>
      <c r="DV22" s="4">
        <f t="shared" si="11"/>
        <v>0</v>
      </c>
      <c r="DW22" s="4">
        <f t="shared" si="11"/>
        <v>0</v>
      </c>
      <c r="DX22" s="4">
        <f t="shared" si="11"/>
        <v>0</v>
      </c>
      <c r="DY22" s="4">
        <f t="shared" si="11"/>
        <v>0</v>
      </c>
      <c r="DZ22" s="4">
        <f t="shared" si="11"/>
        <v>0</v>
      </c>
      <c r="EA22" s="4">
        <f t="shared" si="11"/>
        <v>0</v>
      </c>
      <c r="EB22" s="4">
        <f t="shared" si="11"/>
        <v>0</v>
      </c>
      <c r="EC22" s="4">
        <f t="shared" si="11"/>
        <v>0</v>
      </c>
      <c r="ED22" s="4">
        <f t="shared" si="11"/>
        <v>0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0</v>
      </c>
      <c r="EI22" s="4">
        <f t="shared" si="11"/>
        <v>0</v>
      </c>
      <c r="EJ22" s="4">
        <f t="shared" si="11"/>
        <v>15411306.1</v>
      </c>
      <c r="EK22" s="4">
        <f t="shared" si="11"/>
        <v>15411306.1</v>
      </c>
      <c r="EL22" s="4">
        <f t="shared" si="11"/>
        <v>0</v>
      </c>
      <c r="EM22" s="4">
        <f t="shared" ref="EM22:FR22" si="12">EM282</f>
        <v>0</v>
      </c>
      <c r="EN22" s="4">
        <f t="shared" si="12"/>
        <v>9088956.0800000001</v>
      </c>
      <c r="EO22" s="4">
        <f t="shared" si="12"/>
        <v>9088956.0800000001</v>
      </c>
      <c r="EP22" s="4">
        <f t="shared" si="12"/>
        <v>0</v>
      </c>
      <c r="EQ22" s="4">
        <f t="shared" si="12"/>
        <v>9088956.0800000001</v>
      </c>
      <c r="ER22" s="4">
        <f t="shared" si="12"/>
        <v>0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FS282</f>
        <v>0</v>
      </c>
      <c r="FT22" s="4">
        <f t="shared" si="13"/>
        <v>0</v>
      </c>
      <c r="FU22" s="4">
        <f t="shared" si="13"/>
        <v>0</v>
      </c>
      <c r="FV22" s="4">
        <f t="shared" si="13"/>
        <v>0</v>
      </c>
      <c r="FW22" s="4">
        <f t="shared" si="13"/>
        <v>0</v>
      </c>
      <c r="FX22" s="4">
        <f t="shared" si="13"/>
        <v>0</v>
      </c>
      <c r="FY22" s="4">
        <f t="shared" si="13"/>
        <v>0</v>
      </c>
      <c r="FZ22" s="4">
        <f t="shared" si="13"/>
        <v>0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55">
      <c r="A24" s="1">
        <v>4</v>
      </c>
      <c r="B24" s="1">
        <v>1</v>
      </c>
      <c r="C24" s="1"/>
      <c r="D24" s="1">
        <f>ROW(A97)</f>
        <v>97</v>
      </c>
      <c r="E24" s="1"/>
      <c r="F24" s="1" t="s">
        <v>19</v>
      </c>
      <c r="G24" s="1" t="s">
        <v>20</v>
      </c>
      <c r="H24" s="1" t="s">
        <v>6</v>
      </c>
      <c r="I24" s="1">
        <v>0</v>
      </c>
      <c r="J24" s="1"/>
      <c r="K24" s="1">
        <v>-1</v>
      </c>
      <c r="L24" s="1"/>
      <c r="M24" s="1" t="s">
        <v>6</v>
      </c>
      <c r="N24" s="1"/>
      <c r="O24" s="1"/>
      <c r="P24" s="1"/>
      <c r="Q24" s="1"/>
      <c r="R24" s="1"/>
      <c r="S24" s="1">
        <v>0</v>
      </c>
      <c r="T24" s="1">
        <v>0</v>
      </c>
      <c r="U24" s="1" t="s">
        <v>6</v>
      </c>
      <c r="V24" s="1">
        <v>0</v>
      </c>
      <c r="W24" s="1"/>
      <c r="X24" s="1"/>
      <c r="Y24" s="1"/>
      <c r="Z24" s="1"/>
      <c r="AA24" s="1"/>
      <c r="AB24" s="1" t="s">
        <v>6</v>
      </c>
      <c r="AC24" s="1" t="s">
        <v>6</v>
      </c>
      <c r="AD24" s="1" t="s">
        <v>6</v>
      </c>
      <c r="AE24" s="1" t="s">
        <v>6</v>
      </c>
      <c r="AF24" s="1" t="s">
        <v>6</v>
      </c>
      <c r="AG24" s="1" t="s">
        <v>6</v>
      </c>
      <c r="AH24" s="1"/>
      <c r="AI24" s="1"/>
      <c r="AJ24" s="1"/>
      <c r="AK24" s="1"/>
      <c r="AL24" s="1"/>
      <c r="AM24" s="1"/>
      <c r="AN24" s="1"/>
      <c r="AO24" s="1"/>
      <c r="AP24" s="1" t="s">
        <v>6</v>
      </c>
      <c r="AQ24" s="1" t="s">
        <v>6</v>
      </c>
      <c r="AR24" s="1" t="s">
        <v>6</v>
      </c>
      <c r="AS24" s="1"/>
      <c r="AT24" s="1"/>
      <c r="AU24" s="1"/>
      <c r="AV24" s="1"/>
      <c r="AW24" s="1"/>
      <c r="AX24" s="1"/>
      <c r="AY24" s="1"/>
      <c r="AZ24" s="1" t="s">
        <v>6</v>
      </c>
      <c r="BA24" s="1"/>
      <c r="BB24" s="1" t="s">
        <v>6</v>
      </c>
      <c r="BC24" s="1" t="s">
        <v>6</v>
      </c>
      <c r="BD24" s="1" t="s">
        <v>6</v>
      </c>
      <c r="BE24" s="1" t="s">
        <v>6</v>
      </c>
      <c r="BF24" s="1" t="s">
        <v>6</v>
      </c>
      <c r="BG24" s="1" t="s">
        <v>6</v>
      </c>
      <c r="BH24" s="1" t="s">
        <v>6</v>
      </c>
      <c r="BI24" s="1" t="s">
        <v>6</v>
      </c>
      <c r="BJ24" s="1" t="s">
        <v>6</v>
      </c>
      <c r="BK24" s="1" t="s">
        <v>6</v>
      </c>
      <c r="BL24" s="1" t="s">
        <v>6</v>
      </c>
      <c r="BM24" s="1" t="s">
        <v>6</v>
      </c>
      <c r="BN24" s="1" t="s">
        <v>6</v>
      </c>
      <c r="BO24" s="1" t="s">
        <v>6</v>
      </c>
      <c r="BP24" s="1" t="s">
        <v>6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55">
      <c r="A26" s="3">
        <v>52</v>
      </c>
      <c r="B26" s="3">
        <f t="shared" ref="B26:G26" si="14">B97</f>
        <v>1</v>
      </c>
      <c r="C26" s="3">
        <f t="shared" si="14"/>
        <v>4</v>
      </c>
      <c r="D26" s="3">
        <f t="shared" si="14"/>
        <v>24</v>
      </c>
      <c r="E26" s="3">
        <f t="shared" si="14"/>
        <v>0</v>
      </c>
      <c r="F26" s="3" t="str">
        <f t="shared" si="14"/>
        <v>Новый раздел</v>
      </c>
      <c r="G26" s="3" t="str">
        <f t="shared" si="14"/>
        <v>Газон</v>
      </c>
      <c r="H26" s="3"/>
      <c r="I26" s="3"/>
      <c r="J26" s="3"/>
      <c r="K26" s="3"/>
      <c r="L26" s="3"/>
      <c r="M26" s="3"/>
      <c r="N26" s="3"/>
      <c r="O26" s="3">
        <f t="shared" ref="O26:AT26" si="15">O97</f>
        <v>95206.81</v>
      </c>
      <c r="P26" s="3">
        <f t="shared" si="15"/>
        <v>82663.92</v>
      </c>
      <c r="Q26" s="3">
        <f t="shared" si="15"/>
        <v>158.18</v>
      </c>
      <c r="R26" s="3">
        <f t="shared" si="15"/>
        <v>17.96</v>
      </c>
      <c r="S26" s="3">
        <f t="shared" si="15"/>
        <v>12384.71</v>
      </c>
      <c r="T26" s="3">
        <f t="shared" si="15"/>
        <v>0</v>
      </c>
      <c r="U26" s="3">
        <f t="shared" si="15"/>
        <v>1183.47</v>
      </c>
      <c r="V26" s="3">
        <f t="shared" si="15"/>
        <v>0</v>
      </c>
      <c r="W26" s="3">
        <f t="shared" si="15"/>
        <v>0</v>
      </c>
      <c r="X26" s="3">
        <f t="shared" si="15"/>
        <v>23159.41</v>
      </c>
      <c r="Y26" s="3">
        <f t="shared" si="15"/>
        <v>12508.58</v>
      </c>
      <c r="Z26" s="3">
        <f t="shared" si="15"/>
        <v>0</v>
      </c>
      <c r="AA26" s="3">
        <f t="shared" si="15"/>
        <v>0</v>
      </c>
      <c r="AB26" s="3">
        <f t="shared" si="15"/>
        <v>0</v>
      </c>
      <c r="AC26" s="3">
        <f t="shared" si="15"/>
        <v>0</v>
      </c>
      <c r="AD26" s="3">
        <f t="shared" si="15"/>
        <v>0</v>
      </c>
      <c r="AE26" s="3">
        <f t="shared" si="15"/>
        <v>0</v>
      </c>
      <c r="AF26" s="3">
        <f t="shared" si="15"/>
        <v>0</v>
      </c>
      <c r="AG26" s="3">
        <f t="shared" si="15"/>
        <v>0</v>
      </c>
      <c r="AH26" s="3">
        <f t="shared" si="15"/>
        <v>0</v>
      </c>
      <c r="AI26" s="3">
        <f t="shared" si="15"/>
        <v>0</v>
      </c>
      <c r="AJ26" s="3">
        <f t="shared" si="15"/>
        <v>0</v>
      </c>
      <c r="AK26" s="3">
        <f t="shared" si="15"/>
        <v>0</v>
      </c>
      <c r="AL26" s="3">
        <f t="shared" si="15"/>
        <v>0</v>
      </c>
      <c r="AM26" s="3">
        <f t="shared" si="15"/>
        <v>0</v>
      </c>
      <c r="AN26" s="3">
        <f t="shared" si="15"/>
        <v>0</v>
      </c>
      <c r="AO26" s="3">
        <f t="shared" si="15"/>
        <v>0</v>
      </c>
      <c r="AP26" s="3">
        <f t="shared" si="15"/>
        <v>0</v>
      </c>
      <c r="AQ26" s="3">
        <f t="shared" si="15"/>
        <v>0</v>
      </c>
      <c r="AR26" s="3">
        <f t="shared" si="15"/>
        <v>130906.24000000001</v>
      </c>
      <c r="AS26" s="3">
        <f t="shared" si="15"/>
        <v>130906.24000000001</v>
      </c>
      <c r="AT26" s="3">
        <f t="shared" si="15"/>
        <v>0</v>
      </c>
      <c r="AU26" s="3">
        <f t="shared" ref="AU26:BZ26" si="16">AU97</f>
        <v>0</v>
      </c>
      <c r="AV26" s="3">
        <f t="shared" si="16"/>
        <v>82663.92</v>
      </c>
      <c r="AW26" s="3">
        <f t="shared" si="16"/>
        <v>82663.92</v>
      </c>
      <c r="AX26" s="3">
        <f t="shared" si="16"/>
        <v>0</v>
      </c>
      <c r="AY26" s="3">
        <f t="shared" si="16"/>
        <v>82663.92</v>
      </c>
      <c r="AZ26" s="3">
        <f t="shared" si="16"/>
        <v>0</v>
      </c>
      <c r="BA26" s="3">
        <f t="shared" si="16"/>
        <v>0</v>
      </c>
      <c r="BB26" s="3">
        <f t="shared" si="16"/>
        <v>0</v>
      </c>
      <c r="BC26" s="3">
        <f t="shared" si="16"/>
        <v>0</v>
      </c>
      <c r="BD26" s="3">
        <f t="shared" si="16"/>
        <v>0</v>
      </c>
      <c r="BE26" s="3">
        <f t="shared" si="16"/>
        <v>0</v>
      </c>
      <c r="BF26" s="3">
        <f t="shared" si="16"/>
        <v>0</v>
      </c>
      <c r="BG26" s="3">
        <f t="shared" si="16"/>
        <v>0</v>
      </c>
      <c r="BH26" s="3">
        <f t="shared" si="16"/>
        <v>0</v>
      </c>
      <c r="BI26" s="3">
        <f t="shared" si="16"/>
        <v>0</v>
      </c>
      <c r="BJ26" s="3">
        <f t="shared" si="16"/>
        <v>0</v>
      </c>
      <c r="BK26" s="3">
        <f t="shared" si="16"/>
        <v>0</v>
      </c>
      <c r="BL26" s="3">
        <f t="shared" si="16"/>
        <v>0</v>
      </c>
      <c r="BM26" s="3">
        <f t="shared" si="16"/>
        <v>0</v>
      </c>
      <c r="BN26" s="3">
        <f t="shared" si="16"/>
        <v>0</v>
      </c>
      <c r="BO26" s="3">
        <f t="shared" si="16"/>
        <v>0</v>
      </c>
      <c r="BP26" s="3">
        <f t="shared" si="16"/>
        <v>0</v>
      </c>
      <c r="BQ26" s="3">
        <f t="shared" si="16"/>
        <v>0</v>
      </c>
      <c r="BR26" s="3">
        <f t="shared" si="16"/>
        <v>0</v>
      </c>
      <c r="BS26" s="3">
        <f t="shared" si="16"/>
        <v>0</v>
      </c>
      <c r="BT26" s="3">
        <f t="shared" si="16"/>
        <v>0</v>
      </c>
      <c r="BU26" s="3">
        <f t="shared" si="16"/>
        <v>0</v>
      </c>
      <c r="BV26" s="3">
        <f t="shared" si="16"/>
        <v>0</v>
      </c>
      <c r="BW26" s="3">
        <f t="shared" si="16"/>
        <v>0</v>
      </c>
      <c r="BX26" s="3">
        <f t="shared" si="16"/>
        <v>0</v>
      </c>
      <c r="BY26" s="3">
        <f t="shared" si="16"/>
        <v>0</v>
      </c>
      <c r="BZ26" s="3">
        <f t="shared" si="16"/>
        <v>0</v>
      </c>
      <c r="CA26" s="3">
        <f t="shared" ref="CA26:DF26" si="17">CA97</f>
        <v>0</v>
      </c>
      <c r="CB26" s="3">
        <f t="shared" si="17"/>
        <v>0</v>
      </c>
      <c r="CC26" s="3">
        <f t="shared" si="17"/>
        <v>0</v>
      </c>
      <c r="CD26" s="3">
        <f t="shared" si="17"/>
        <v>0</v>
      </c>
      <c r="CE26" s="3">
        <f t="shared" si="17"/>
        <v>0</v>
      </c>
      <c r="CF26" s="3">
        <f t="shared" si="17"/>
        <v>0</v>
      </c>
      <c r="CG26" s="3">
        <f t="shared" si="17"/>
        <v>0</v>
      </c>
      <c r="CH26" s="3">
        <f t="shared" si="17"/>
        <v>0</v>
      </c>
      <c r="CI26" s="3">
        <f t="shared" si="17"/>
        <v>0</v>
      </c>
      <c r="CJ26" s="3">
        <f t="shared" si="17"/>
        <v>0</v>
      </c>
      <c r="CK26" s="3">
        <f t="shared" si="17"/>
        <v>0</v>
      </c>
      <c r="CL26" s="3">
        <f t="shared" si="17"/>
        <v>0</v>
      </c>
      <c r="CM26" s="3">
        <f t="shared" si="17"/>
        <v>0</v>
      </c>
      <c r="CN26" s="3">
        <f t="shared" si="17"/>
        <v>0</v>
      </c>
      <c r="CO26" s="3">
        <f t="shared" si="17"/>
        <v>0</v>
      </c>
      <c r="CP26" s="3">
        <f t="shared" si="17"/>
        <v>0</v>
      </c>
      <c r="CQ26" s="3">
        <f t="shared" si="17"/>
        <v>0</v>
      </c>
      <c r="CR26" s="3">
        <f t="shared" si="17"/>
        <v>0</v>
      </c>
      <c r="CS26" s="3">
        <f t="shared" si="17"/>
        <v>0</v>
      </c>
      <c r="CT26" s="3">
        <f t="shared" si="17"/>
        <v>0</v>
      </c>
      <c r="CU26" s="3">
        <f t="shared" si="17"/>
        <v>0</v>
      </c>
      <c r="CV26" s="3">
        <f t="shared" si="17"/>
        <v>0</v>
      </c>
      <c r="CW26" s="3">
        <f t="shared" si="17"/>
        <v>0</v>
      </c>
      <c r="CX26" s="3">
        <f t="shared" si="17"/>
        <v>0</v>
      </c>
      <c r="CY26" s="3">
        <f t="shared" si="17"/>
        <v>0</v>
      </c>
      <c r="CZ26" s="3">
        <f t="shared" si="17"/>
        <v>0</v>
      </c>
      <c r="DA26" s="3">
        <f t="shared" si="17"/>
        <v>0</v>
      </c>
      <c r="DB26" s="3">
        <f t="shared" si="17"/>
        <v>0</v>
      </c>
      <c r="DC26" s="3">
        <f t="shared" si="17"/>
        <v>0</v>
      </c>
      <c r="DD26" s="3">
        <f t="shared" si="17"/>
        <v>0</v>
      </c>
      <c r="DE26" s="3">
        <f t="shared" si="17"/>
        <v>0</v>
      </c>
      <c r="DF26" s="3">
        <f t="shared" si="17"/>
        <v>0</v>
      </c>
      <c r="DG26" s="4">
        <f t="shared" ref="DG26:EL26" si="18">DG97</f>
        <v>1205647.97</v>
      </c>
      <c r="DH26" s="4">
        <f t="shared" si="18"/>
        <v>625355.18999999994</v>
      </c>
      <c r="DI26" s="4">
        <f t="shared" si="18"/>
        <v>2298.36</v>
      </c>
      <c r="DJ26" s="4">
        <f t="shared" si="18"/>
        <v>838.19</v>
      </c>
      <c r="DK26" s="4">
        <f t="shared" si="18"/>
        <v>577994.42000000004</v>
      </c>
      <c r="DL26" s="4">
        <f t="shared" si="18"/>
        <v>0</v>
      </c>
      <c r="DM26" s="4">
        <f t="shared" si="18"/>
        <v>1183.47</v>
      </c>
      <c r="DN26" s="4">
        <f t="shared" si="18"/>
        <v>0</v>
      </c>
      <c r="DO26" s="4">
        <f t="shared" si="18"/>
        <v>0</v>
      </c>
      <c r="DP26" s="4">
        <f t="shared" si="18"/>
        <v>606894.15</v>
      </c>
      <c r="DQ26" s="4">
        <f t="shared" si="18"/>
        <v>277437.32</v>
      </c>
      <c r="DR26" s="4">
        <f t="shared" si="18"/>
        <v>0</v>
      </c>
      <c r="DS26" s="4">
        <f t="shared" si="18"/>
        <v>0</v>
      </c>
      <c r="DT26" s="4">
        <f t="shared" si="18"/>
        <v>0</v>
      </c>
      <c r="DU26" s="4">
        <f t="shared" si="18"/>
        <v>0</v>
      </c>
      <c r="DV26" s="4">
        <f t="shared" si="18"/>
        <v>0</v>
      </c>
      <c r="DW26" s="4">
        <f t="shared" si="18"/>
        <v>0</v>
      </c>
      <c r="DX26" s="4">
        <f t="shared" si="18"/>
        <v>0</v>
      </c>
      <c r="DY26" s="4">
        <f t="shared" si="18"/>
        <v>0</v>
      </c>
      <c r="DZ26" s="4">
        <f t="shared" si="18"/>
        <v>0</v>
      </c>
      <c r="EA26" s="4">
        <f t="shared" si="18"/>
        <v>0</v>
      </c>
      <c r="EB26" s="4">
        <f t="shared" si="18"/>
        <v>0</v>
      </c>
      <c r="EC26" s="4">
        <f t="shared" si="18"/>
        <v>0</v>
      </c>
      <c r="ED26" s="4">
        <f t="shared" si="18"/>
        <v>0</v>
      </c>
      <c r="EE26" s="4">
        <f t="shared" si="18"/>
        <v>0</v>
      </c>
      <c r="EF26" s="4">
        <f t="shared" si="18"/>
        <v>0</v>
      </c>
      <c r="EG26" s="4">
        <f t="shared" si="18"/>
        <v>0</v>
      </c>
      <c r="EH26" s="4">
        <f t="shared" si="18"/>
        <v>0</v>
      </c>
      <c r="EI26" s="4">
        <f t="shared" si="18"/>
        <v>0</v>
      </c>
      <c r="EJ26" s="4">
        <f t="shared" si="18"/>
        <v>2091320.55</v>
      </c>
      <c r="EK26" s="4">
        <f t="shared" si="18"/>
        <v>2091320.55</v>
      </c>
      <c r="EL26" s="4">
        <f t="shared" si="18"/>
        <v>0</v>
      </c>
      <c r="EM26" s="4">
        <f t="shared" ref="EM26:FR26" si="19">EM97</f>
        <v>0</v>
      </c>
      <c r="EN26" s="4">
        <f t="shared" si="19"/>
        <v>625355.18999999994</v>
      </c>
      <c r="EO26" s="4">
        <f t="shared" si="19"/>
        <v>625355.18999999994</v>
      </c>
      <c r="EP26" s="4">
        <f t="shared" si="19"/>
        <v>0</v>
      </c>
      <c r="EQ26" s="4">
        <f t="shared" si="19"/>
        <v>625355.18999999994</v>
      </c>
      <c r="ER26" s="4">
        <f t="shared" si="19"/>
        <v>0</v>
      </c>
      <c r="ES26" s="4">
        <f t="shared" si="19"/>
        <v>0</v>
      </c>
      <c r="ET26" s="4">
        <f t="shared" si="19"/>
        <v>0</v>
      </c>
      <c r="EU26" s="4">
        <f t="shared" si="19"/>
        <v>0</v>
      </c>
      <c r="EV26" s="4">
        <f t="shared" si="19"/>
        <v>0</v>
      </c>
      <c r="EW26" s="4">
        <f t="shared" si="19"/>
        <v>0</v>
      </c>
      <c r="EX26" s="4">
        <f t="shared" si="19"/>
        <v>0</v>
      </c>
      <c r="EY26" s="4">
        <f t="shared" si="19"/>
        <v>0</v>
      </c>
      <c r="EZ26" s="4">
        <f t="shared" si="19"/>
        <v>0</v>
      </c>
      <c r="FA26" s="4">
        <f t="shared" si="19"/>
        <v>0</v>
      </c>
      <c r="FB26" s="4">
        <f t="shared" si="19"/>
        <v>0</v>
      </c>
      <c r="FC26" s="4">
        <f t="shared" si="19"/>
        <v>0</v>
      </c>
      <c r="FD26" s="4">
        <f t="shared" si="19"/>
        <v>0</v>
      </c>
      <c r="FE26" s="4">
        <f t="shared" si="19"/>
        <v>0</v>
      </c>
      <c r="FF26" s="4">
        <f t="shared" si="19"/>
        <v>0</v>
      </c>
      <c r="FG26" s="4">
        <f t="shared" si="19"/>
        <v>0</v>
      </c>
      <c r="FH26" s="4">
        <f t="shared" si="19"/>
        <v>0</v>
      </c>
      <c r="FI26" s="4">
        <f t="shared" si="19"/>
        <v>0</v>
      </c>
      <c r="FJ26" s="4">
        <f t="shared" si="19"/>
        <v>0</v>
      </c>
      <c r="FK26" s="4">
        <f t="shared" si="19"/>
        <v>0</v>
      </c>
      <c r="FL26" s="4">
        <f t="shared" si="19"/>
        <v>0</v>
      </c>
      <c r="FM26" s="4">
        <f t="shared" si="19"/>
        <v>0</v>
      </c>
      <c r="FN26" s="4">
        <f t="shared" si="19"/>
        <v>0</v>
      </c>
      <c r="FO26" s="4">
        <f t="shared" si="19"/>
        <v>0</v>
      </c>
      <c r="FP26" s="4">
        <f t="shared" si="19"/>
        <v>0</v>
      </c>
      <c r="FQ26" s="4">
        <f t="shared" si="19"/>
        <v>0</v>
      </c>
      <c r="FR26" s="4">
        <f t="shared" si="19"/>
        <v>0</v>
      </c>
      <c r="FS26" s="4">
        <f t="shared" ref="FS26:GX26" si="20">FS97</f>
        <v>0</v>
      </c>
      <c r="FT26" s="4">
        <f t="shared" si="20"/>
        <v>0</v>
      </c>
      <c r="FU26" s="4">
        <f t="shared" si="20"/>
        <v>0</v>
      </c>
      <c r="FV26" s="4">
        <f t="shared" si="20"/>
        <v>0</v>
      </c>
      <c r="FW26" s="4">
        <f t="shared" si="20"/>
        <v>0</v>
      </c>
      <c r="FX26" s="4">
        <f t="shared" si="20"/>
        <v>0</v>
      </c>
      <c r="FY26" s="4">
        <f t="shared" si="20"/>
        <v>0</v>
      </c>
      <c r="FZ26" s="4">
        <f t="shared" si="20"/>
        <v>0</v>
      </c>
      <c r="GA26" s="4">
        <f t="shared" si="20"/>
        <v>0</v>
      </c>
      <c r="GB26" s="4">
        <f t="shared" si="20"/>
        <v>0</v>
      </c>
      <c r="GC26" s="4">
        <f t="shared" si="20"/>
        <v>0</v>
      </c>
      <c r="GD26" s="4">
        <f t="shared" si="20"/>
        <v>0</v>
      </c>
      <c r="GE26" s="4">
        <f t="shared" si="20"/>
        <v>0</v>
      </c>
      <c r="GF26" s="4">
        <f t="shared" si="20"/>
        <v>0</v>
      </c>
      <c r="GG26" s="4">
        <f t="shared" si="20"/>
        <v>0</v>
      </c>
      <c r="GH26" s="4">
        <f t="shared" si="20"/>
        <v>0</v>
      </c>
      <c r="GI26" s="4">
        <f t="shared" si="20"/>
        <v>0</v>
      </c>
      <c r="GJ26" s="4">
        <f t="shared" si="20"/>
        <v>0</v>
      </c>
      <c r="GK26" s="4">
        <f t="shared" si="20"/>
        <v>0</v>
      </c>
      <c r="GL26" s="4">
        <f t="shared" si="20"/>
        <v>0</v>
      </c>
      <c r="GM26" s="4">
        <f t="shared" si="20"/>
        <v>0</v>
      </c>
      <c r="GN26" s="4">
        <f t="shared" si="20"/>
        <v>0</v>
      </c>
      <c r="GO26" s="4">
        <f t="shared" si="20"/>
        <v>0</v>
      </c>
      <c r="GP26" s="4">
        <f t="shared" si="20"/>
        <v>0</v>
      </c>
      <c r="GQ26" s="4">
        <f t="shared" si="20"/>
        <v>0</v>
      </c>
      <c r="GR26" s="4">
        <f t="shared" si="20"/>
        <v>0</v>
      </c>
      <c r="GS26" s="4">
        <f t="shared" si="20"/>
        <v>0</v>
      </c>
      <c r="GT26" s="4">
        <f t="shared" si="20"/>
        <v>0</v>
      </c>
      <c r="GU26" s="4">
        <f t="shared" si="20"/>
        <v>0</v>
      </c>
      <c r="GV26" s="4">
        <f t="shared" si="20"/>
        <v>0</v>
      </c>
      <c r="GW26" s="4">
        <f t="shared" si="20"/>
        <v>0</v>
      </c>
      <c r="GX26" s="4">
        <f t="shared" si="20"/>
        <v>0</v>
      </c>
    </row>
    <row r="28" spans="1:255">
      <c r="A28" s="1">
        <v>5</v>
      </c>
      <c r="B28" s="1">
        <v>1</v>
      </c>
      <c r="C28" s="1"/>
      <c r="D28" s="1">
        <f>ROW(A67)</f>
        <v>67</v>
      </c>
      <c r="E28" s="1"/>
      <c r="F28" s="1" t="s">
        <v>21</v>
      </c>
      <c r="G28" s="1" t="s">
        <v>22</v>
      </c>
      <c r="H28" s="1" t="s">
        <v>6</v>
      </c>
      <c r="I28" s="1">
        <v>0</v>
      </c>
      <c r="J28" s="1"/>
      <c r="K28" s="1">
        <v>-1</v>
      </c>
      <c r="L28" s="1"/>
      <c r="M28" s="1" t="s">
        <v>6</v>
      </c>
      <c r="N28" s="1"/>
      <c r="O28" s="1"/>
      <c r="P28" s="1"/>
      <c r="Q28" s="1"/>
      <c r="R28" s="1"/>
      <c r="S28" s="1">
        <v>0</v>
      </c>
      <c r="T28" s="1">
        <v>0</v>
      </c>
      <c r="U28" s="1" t="s">
        <v>6</v>
      </c>
      <c r="V28" s="1">
        <v>0</v>
      </c>
      <c r="W28" s="1"/>
      <c r="X28" s="1"/>
      <c r="Y28" s="1"/>
      <c r="Z28" s="1"/>
      <c r="AA28" s="1"/>
      <c r="AB28" s="1" t="s">
        <v>6</v>
      </c>
      <c r="AC28" s="1" t="s">
        <v>6</v>
      </c>
      <c r="AD28" s="1" t="s">
        <v>6</v>
      </c>
      <c r="AE28" s="1" t="s">
        <v>6</v>
      </c>
      <c r="AF28" s="1" t="s">
        <v>6</v>
      </c>
      <c r="AG28" s="1" t="s">
        <v>6</v>
      </c>
      <c r="AH28" s="1"/>
      <c r="AI28" s="1"/>
      <c r="AJ28" s="1"/>
      <c r="AK28" s="1"/>
      <c r="AL28" s="1"/>
      <c r="AM28" s="1"/>
      <c r="AN28" s="1"/>
      <c r="AO28" s="1"/>
      <c r="AP28" s="1" t="s">
        <v>6</v>
      </c>
      <c r="AQ28" s="1" t="s">
        <v>6</v>
      </c>
      <c r="AR28" s="1" t="s">
        <v>6</v>
      </c>
      <c r="AS28" s="1"/>
      <c r="AT28" s="1"/>
      <c r="AU28" s="1"/>
      <c r="AV28" s="1"/>
      <c r="AW28" s="1"/>
      <c r="AX28" s="1"/>
      <c r="AY28" s="1"/>
      <c r="AZ28" s="1" t="s">
        <v>6</v>
      </c>
      <c r="BA28" s="1"/>
      <c r="BB28" s="1" t="s">
        <v>6</v>
      </c>
      <c r="BC28" s="1" t="s">
        <v>6</v>
      </c>
      <c r="BD28" s="1" t="s">
        <v>6</v>
      </c>
      <c r="BE28" s="1" t="s">
        <v>6</v>
      </c>
      <c r="BF28" s="1" t="s">
        <v>6</v>
      </c>
      <c r="BG28" s="1" t="s">
        <v>6</v>
      </c>
      <c r="BH28" s="1" t="s">
        <v>6</v>
      </c>
      <c r="BI28" s="1" t="s">
        <v>6</v>
      </c>
      <c r="BJ28" s="1" t="s">
        <v>6</v>
      </c>
      <c r="BK28" s="1" t="s">
        <v>6</v>
      </c>
      <c r="BL28" s="1" t="s">
        <v>6</v>
      </c>
      <c r="BM28" s="1" t="s">
        <v>6</v>
      </c>
      <c r="BN28" s="1" t="s">
        <v>6</v>
      </c>
      <c r="BO28" s="1" t="s">
        <v>6</v>
      </c>
      <c r="BP28" s="1" t="s">
        <v>6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55">
      <c r="A30" s="3">
        <v>52</v>
      </c>
      <c r="B30" s="3">
        <f t="shared" ref="B30:G30" si="21">B67</f>
        <v>1</v>
      </c>
      <c r="C30" s="3">
        <f t="shared" si="21"/>
        <v>5</v>
      </c>
      <c r="D30" s="3">
        <f t="shared" si="21"/>
        <v>28</v>
      </c>
      <c r="E30" s="3">
        <f t="shared" si="21"/>
        <v>0</v>
      </c>
      <c r="F30" s="3" t="str">
        <f t="shared" si="21"/>
        <v>Новый подраздел</v>
      </c>
      <c r="G30" s="3" t="str">
        <f t="shared" si="21"/>
        <v>Газон  направлением  СП 60401 до ТП 28274</v>
      </c>
      <c r="H30" s="3"/>
      <c r="I30" s="3"/>
      <c r="J30" s="3"/>
      <c r="K30" s="3"/>
      <c r="L30" s="3"/>
      <c r="M30" s="3"/>
      <c r="N30" s="3"/>
      <c r="O30" s="3">
        <f t="shared" ref="O30:AT30" si="22">O67</f>
        <v>95206.81</v>
      </c>
      <c r="P30" s="3">
        <f t="shared" si="22"/>
        <v>82663.92</v>
      </c>
      <c r="Q30" s="3">
        <f t="shared" si="22"/>
        <v>158.18</v>
      </c>
      <c r="R30" s="3">
        <f t="shared" si="22"/>
        <v>17.96</v>
      </c>
      <c r="S30" s="3">
        <f t="shared" si="22"/>
        <v>12384.71</v>
      </c>
      <c r="T30" s="3">
        <f t="shared" si="22"/>
        <v>0</v>
      </c>
      <c r="U30" s="3">
        <f t="shared" si="22"/>
        <v>1183.47</v>
      </c>
      <c r="V30" s="3">
        <f t="shared" si="22"/>
        <v>0</v>
      </c>
      <c r="W30" s="3">
        <f t="shared" si="22"/>
        <v>0</v>
      </c>
      <c r="X30" s="3">
        <f t="shared" si="22"/>
        <v>23159.41</v>
      </c>
      <c r="Y30" s="3">
        <f t="shared" si="22"/>
        <v>12508.58</v>
      </c>
      <c r="Z30" s="3">
        <f t="shared" si="22"/>
        <v>0</v>
      </c>
      <c r="AA30" s="3">
        <f t="shared" si="22"/>
        <v>0</v>
      </c>
      <c r="AB30" s="3">
        <f t="shared" si="22"/>
        <v>95206.81</v>
      </c>
      <c r="AC30" s="3">
        <f t="shared" si="22"/>
        <v>82663.92</v>
      </c>
      <c r="AD30" s="3">
        <f t="shared" si="22"/>
        <v>158.18</v>
      </c>
      <c r="AE30" s="3">
        <f t="shared" si="22"/>
        <v>17.96</v>
      </c>
      <c r="AF30" s="3">
        <f t="shared" si="22"/>
        <v>12384.71</v>
      </c>
      <c r="AG30" s="3">
        <f t="shared" si="22"/>
        <v>0</v>
      </c>
      <c r="AH30" s="3">
        <f t="shared" si="22"/>
        <v>1183.47</v>
      </c>
      <c r="AI30" s="3">
        <f t="shared" si="22"/>
        <v>0</v>
      </c>
      <c r="AJ30" s="3">
        <f t="shared" si="22"/>
        <v>0</v>
      </c>
      <c r="AK30" s="3">
        <f t="shared" si="22"/>
        <v>23159.41</v>
      </c>
      <c r="AL30" s="3">
        <f t="shared" si="22"/>
        <v>12508.58</v>
      </c>
      <c r="AM30" s="3">
        <f t="shared" si="22"/>
        <v>0</v>
      </c>
      <c r="AN30" s="3">
        <f t="shared" si="22"/>
        <v>0</v>
      </c>
      <c r="AO30" s="3">
        <f t="shared" si="22"/>
        <v>0</v>
      </c>
      <c r="AP30" s="3">
        <f t="shared" si="22"/>
        <v>0</v>
      </c>
      <c r="AQ30" s="3">
        <f t="shared" si="22"/>
        <v>0</v>
      </c>
      <c r="AR30" s="3">
        <f t="shared" si="22"/>
        <v>130906.24000000001</v>
      </c>
      <c r="AS30" s="3">
        <f t="shared" si="22"/>
        <v>130906.24000000001</v>
      </c>
      <c r="AT30" s="3">
        <f t="shared" si="22"/>
        <v>0</v>
      </c>
      <c r="AU30" s="3">
        <f t="shared" ref="AU30:BZ30" si="23">AU67</f>
        <v>0</v>
      </c>
      <c r="AV30" s="3">
        <f t="shared" si="23"/>
        <v>82663.92</v>
      </c>
      <c r="AW30" s="3">
        <f t="shared" si="23"/>
        <v>82663.92</v>
      </c>
      <c r="AX30" s="3">
        <f t="shared" si="23"/>
        <v>0</v>
      </c>
      <c r="AY30" s="3">
        <f t="shared" si="23"/>
        <v>82663.92</v>
      </c>
      <c r="AZ30" s="3">
        <f t="shared" si="23"/>
        <v>0</v>
      </c>
      <c r="BA30" s="3">
        <f t="shared" si="23"/>
        <v>0</v>
      </c>
      <c r="BB30" s="3">
        <f t="shared" si="23"/>
        <v>0</v>
      </c>
      <c r="BC30" s="3">
        <f t="shared" si="23"/>
        <v>0</v>
      </c>
      <c r="BD30" s="3">
        <f t="shared" si="23"/>
        <v>0</v>
      </c>
      <c r="BE30" s="3">
        <f t="shared" si="23"/>
        <v>0</v>
      </c>
      <c r="BF30" s="3">
        <f t="shared" si="23"/>
        <v>0</v>
      </c>
      <c r="BG30" s="3">
        <f t="shared" si="23"/>
        <v>0</v>
      </c>
      <c r="BH30" s="3">
        <f t="shared" si="23"/>
        <v>0</v>
      </c>
      <c r="BI30" s="3">
        <f t="shared" si="23"/>
        <v>0</v>
      </c>
      <c r="BJ30" s="3">
        <f t="shared" si="23"/>
        <v>0</v>
      </c>
      <c r="BK30" s="3">
        <f t="shared" si="23"/>
        <v>0</v>
      </c>
      <c r="BL30" s="3">
        <f t="shared" si="23"/>
        <v>0</v>
      </c>
      <c r="BM30" s="3">
        <f t="shared" si="23"/>
        <v>0</v>
      </c>
      <c r="BN30" s="3">
        <f t="shared" si="23"/>
        <v>0</v>
      </c>
      <c r="BO30" s="3">
        <f t="shared" si="23"/>
        <v>0</v>
      </c>
      <c r="BP30" s="3">
        <f t="shared" si="23"/>
        <v>0</v>
      </c>
      <c r="BQ30" s="3">
        <f t="shared" si="23"/>
        <v>0</v>
      </c>
      <c r="BR30" s="3">
        <f t="shared" si="23"/>
        <v>0</v>
      </c>
      <c r="BS30" s="3">
        <f t="shared" si="23"/>
        <v>0</v>
      </c>
      <c r="BT30" s="3">
        <f t="shared" si="23"/>
        <v>0</v>
      </c>
      <c r="BU30" s="3">
        <f t="shared" si="23"/>
        <v>0</v>
      </c>
      <c r="BV30" s="3">
        <f t="shared" si="23"/>
        <v>0</v>
      </c>
      <c r="BW30" s="3">
        <f t="shared" si="23"/>
        <v>0</v>
      </c>
      <c r="BX30" s="3">
        <f t="shared" si="23"/>
        <v>0</v>
      </c>
      <c r="BY30" s="3">
        <f t="shared" si="23"/>
        <v>0</v>
      </c>
      <c r="BZ30" s="3">
        <f t="shared" si="23"/>
        <v>0</v>
      </c>
      <c r="CA30" s="3">
        <f t="shared" ref="CA30:DF30" si="24">CA67</f>
        <v>130906.24000000001</v>
      </c>
      <c r="CB30" s="3">
        <f t="shared" si="24"/>
        <v>130906.24000000001</v>
      </c>
      <c r="CC30" s="3">
        <f t="shared" si="24"/>
        <v>0</v>
      </c>
      <c r="CD30" s="3">
        <f t="shared" si="24"/>
        <v>0</v>
      </c>
      <c r="CE30" s="3">
        <f t="shared" si="24"/>
        <v>82663.92</v>
      </c>
      <c r="CF30" s="3">
        <f t="shared" si="24"/>
        <v>82663.92</v>
      </c>
      <c r="CG30" s="3">
        <f t="shared" si="24"/>
        <v>0</v>
      </c>
      <c r="CH30" s="3">
        <f t="shared" si="24"/>
        <v>82663.92</v>
      </c>
      <c r="CI30" s="3">
        <f t="shared" si="24"/>
        <v>0</v>
      </c>
      <c r="CJ30" s="3">
        <f t="shared" si="24"/>
        <v>0</v>
      </c>
      <c r="CK30" s="3">
        <f t="shared" si="24"/>
        <v>0</v>
      </c>
      <c r="CL30" s="3">
        <f t="shared" si="24"/>
        <v>0</v>
      </c>
      <c r="CM30" s="3">
        <f t="shared" si="24"/>
        <v>0</v>
      </c>
      <c r="CN30" s="3">
        <f t="shared" si="24"/>
        <v>0</v>
      </c>
      <c r="CO30" s="3">
        <f t="shared" si="24"/>
        <v>0</v>
      </c>
      <c r="CP30" s="3">
        <f t="shared" si="24"/>
        <v>0</v>
      </c>
      <c r="CQ30" s="3">
        <f t="shared" si="24"/>
        <v>0</v>
      </c>
      <c r="CR30" s="3">
        <f t="shared" si="24"/>
        <v>0</v>
      </c>
      <c r="CS30" s="3">
        <f t="shared" si="24"/>
        <v>0</v>
      </c>
      <c r="CT30" s="3">
        <f t="shared" si="24"/>
        <v>0</v>
      </c>
      <c r="CU30" s="3">
        <f t="shared" si="24"/>
        <v>0</v>
      </c>
      <c r="CV30" s="3">
        <f t="shared" si="24"/>
        <v>0</v>
      </c>
      <c r="CW30" s="3">
        <f t="shared" si="24"/>
        <v>0</v>
      </c>
      <c r="CX30" s="3">
        <f t="shared" si="24"/>
        <v>0</v>
      </c>
      <c r="CY30" s="3">
        <f t="shared" si="24"/>
        <v>0</v>
      </c>
      <c r="CZ30" s="3">
        <f t="shared" si="24"/>
        <v>0</v>
      </c>
      <c r="DA30" s="3">
        <f t="shared" si="24"/>
        <v>0</v>
      </c>
      <c r="DB30" s="3">
        <f t="shared" si="24"/>
        <v>0</v>
      </c>
      <c r="DC30" s="3">
        <f t="shared" si="24"/>
        <v>0</v>
      </c>
      <c r="DD30" s="3">
        <f t="shared" si="24"/>
        <v>0</v>
      </c>
      <c r="DE30" s="3">
        <f t="shared" si="24"/>
        <v>0</v>
      </c>
      <c r="DF30" s="3">
        <f t="shared" si="24"/>
        <v>0</v>
      </c>
      <c r="DG30" s="4">
        <f t="shared" ref="DG30:EL30" si="25">DG67</f>
        <v>1205647.97</v>
      </c>
      <c r="DH30" s="4">
        <f t="shared" si="25"/>
        <v>625355.18999999994</v>
      </c>
      <c r="DI30" s="4">
        <f t="shared" si="25"/>
        <v>2298.36</v>
      </c>
      <c r="DJ30" s="4">
        <f t="shared" si="25"/>
        <v>838.19</v>
      </c>
      <c r="DK30" s="4">
        <f t="shared" si="25"/>
        <v>577994.42000000004</v>
      </c>
      <c r="DL30" s="4">
        <f t="shared" si="25"/>
        <v>0</v>
      </c>
      <c r="DM30" s="4">
        <f t="shared" si="25"/>
        <v>1183.47</v>
      </c>
      <c r="DN30" s="4">
        <f t="shared" si="25"/>
        <v>0</v>
      </c>
      <c r="DO30" s="4">
        <f t="shared" si="25"/>
        <v>0</v>
      </c>
      <c r="DP30" s="4">
        <f t="shared" si="25"/>
        <v>606894.15</v>
      </c>
      <c r="DQ30" s="4">
        <f t="shared" si="25"/>
        <v>277437.32</v>
      </c>
      <c r="DR30" s="4">
        <f t="shared" si="25"/>
        <v>0</v>
      </c>
      <c r="DS30" s="4">
        <f t="shared" si="25"/>
        <v>0</v>
      </c>
      <c r="DT30" s="4">
        <f t="shared" si="25"/>
        <v>1205647.97</v>
      </c>
      <c r="DU30" s="4">
        <f t="shared" si="25"/>
        <v>625355.18999999994</v>
      </c>
      <c r="DV30" s="4">
        <f t="shared" si="25"/>
        <v>2298.36</v>
      </c>
      <c r="DW30" s="4">
        <f t="shared" si="25"/>
        <v>838.19</v>
      </c>
      <c r="DX30" s="4">
        <f t="shared" si="25"/>
        <v>577994.42000000004</v>
      </c>
      <c r="DY30" s="4">
        <f t="shared" si="25"/>
        <v>0</v>
      </c>
      <c r="DZ30" s="4">
        <f t="shared" si="25"/>
        <v>1183.47</v>
      </c>
      <c r="EA30" s="4">
        <f t="shared" si="25"/>
        <v>0</v>
      </c>
      <c r="EB30" s="4">
        <f t="shared" si="25"/>
        <v>0</v>
      </c>
      <c r="EC30" s="4">
        <f t="shared" si="25"/>
        <v>606894.15</v>
      </c>
      <c r="ED30" s="4">
        <f t="shared" si="25"/>
        <v>277437.32</v>
      </c>
      <c r="EE30" s="4">
        <f t="shared" si="25"/>
        <v>0</v>
      </c>
      <c r="EF30" s="4">
        <f t="shared" si="25"/>
        <v>0</v>
      </c>
      <c r="EG30" s="4">
        <f t="shared" si="25"/>
        <v>0</v>
      </c>
      <c r="EH30" s="4">
        <f t="shared" si="25"/>
        <v>0</v>
      </c>
      <c r="EI30" s="4">
        <f t="shared" si="25"/>
        <v>0</v>
      </c>
      <c r="EJ30" s="4">
        <f t="shared" si="25"/>
        <v>2091320.55</v>
      </c>
      <c r="EK30" s="4">
        <f t="shared" si="25"/>
        <v>2091320.55</v>
      </c>
      <c r="EL30" s="4">
        <f t="shared" si="25"/>
        <v>0</v>
      </c>
      <c r="EM30" s="4">
        <f t="shared" ref="EM30:FR30" si="26">EM67</f>
        <v>0</v>
      </c>
      <c r="EN30" s="4">
        <f t="shared" si="26"/>
        <v>625355.18999999994</v>
      </c>
      <c r="EO30" s="4">
        <f t="shared" si="26"/>
        <v>625355.18999999994</v>
      </c>
      <c r="EP30" s="4">
        <f t="shared" si="26"/>
        <v>0</v>
      </c>
      <c r="EQ30" s="4">
        <f t="shared" si="26"/>
        <v>625355.18999999994</v>
      </c>
      <c r="ER30" s="4">
        <f t="shared" si="26"/>
        <v>0</v>
      </c>
      <c r="ES30" s="4">
        <f t="shared" si="26"/>
        <v>0</v>
      </c>
      <c r="ET30" s="4">
        <f t="shared" si="26"/>
        <v>0</v>
      </c>
      <c r="EU30" s="4">
        <f t="shared" si="26"/>
        <v>0</v>
      </c>
      <c r="EV30" s="4">
        <f t="shared" si="26"/>
        <v>0</v>
      </c>
      <c r="EW30" s="4">
        <f t="shared" si="26"/>
        <v>0</v>
      </c>
      <c r="EX30" s="4">
        <f t="shared" si="26"/>
        <v>0</v>
      </c>
      <c r="EY30" s="4">
        <f t="shared" si="26"/>
        <v>0</v>
      </c>
      <c r="EZ30" s="4">
        <f t="shared" si="26"/>
        <v>0</v>
      </c>
      <c r="FA30" s="4">
        <f t="shared" si="26"/>
        <v>0</v>
      </c>
      <c r="FB30" s="4">
        <f t="shared" si="26"/>
        <v>0</v>
      </c>
      <c r="FC30" s="4">
        <f t="shared" si="26"/>
        <v>0</v>
      </c>
      <c r="FD30" s="4">
        <f t="shared" si="26"/>
        <v>0</v>
      </c>
      <c r="FE30" s="4">
        <f t="shared" si="26"/>
        <v>0</v>
      </c>
      <c r="FF30" s="4">
        <f t="shared" si="26"/>
        <v>0</v>
      </c>
      <c r="FG30" s="4">
        <f t="shared" si="26"/>
        <v>0</v>
      </c>
      <c r="FH30" s="4">
        <f t="shared" si="26"/>
        <v>0</v>
      </c>
      <c r="FI30" s="4">
        <f t="shared" si="26"/>
        <v>0</v>
      </c>
      <c r="FJ30" s="4">
        <f t="shared" si="26"/>
        <v>0</v>
      </c>
      <c r="FK30" s="4">
        <f t="shared" si="26"/>
        <v>0</v>
      </c>
      <c r="FL30" s="4">
        <f t="shared" si="26"/>
        <v>0</v>
      </c>
      <c r="FM30" s="4">
        <f t="shared" si="26"/>
        <v>0</v>
      </c>
      <c r="FN30" s="4">
        <f t="shared" si="26"/>
        <v>0</v>
      </c>
      <c r="FO30" s="4">
        <f t="shared" si="26"/>
        <v>0</v>
      </c>
      <c r="FP30" s="4">
        <f t="shared" si="26"/>
        <v>0</v>
      </c>
      <c r="FQ30" s="4">
        <f t="shared" si="26"/>
        <v>0</v>
      </c>
      <c r="FR30" s="4">
        <f t="shared" si="26"/>
        <v>0</v>
      </c>
      <c r="FS30" s="4">
        <f t="shared" ref="FS30:GX30" si="27">FS67</f>
        <v>2091320.55</v>
      </c>
      <c r="FT30" s="4">
        <f t="shared" si="27"/>
        <v>2091320.55</v>
      </c>
      <c r="FU30" s="4">
        <f t="shared" si="27"/>
        <v>0</v>
      </c>
      <c r="FV30" s="4">
        <f t="shared" si="27"/>
        <v>0</v>
      </c>
      <c r="FW30" s="4">
        <f t="shared" si="27"/>
        <v>625355.18999999994</v>
      </c>
      <c r="FX30" s="4">
        <f t="shared" si="27"/>
        <v>625355.18999999994</v>
      </c>
      <c r="FY30" s="4">
        <f t="shared" si="27"/>
        <v>0</v>
      </c>
      <c r="FZ30" s="4">
        <f t="shared" si="27"/>
        <v>625355.18999999994</v>
      </c>
      <c r="GA30" s="4">
        <f t="shared" si="27"/>
        <v>0</v>
      </c>
      <c r="GB30" s="4">
        <f t="shared" si="27"/>
        <v>0</v>
      </c>
      <c r="GC30" s="4">
        <f t="shared" si="27"/>
        <v>0</v>
      </c>
      <c r="GD30" s="4">
        <f t="shared" si="27"/>
        <v>0</v>
      </c>
      <c r="GE30" s="4">
        <f t="shared" si="27"/>
        <v>0</v>
      </c>
      <c r="GF30" s="4">
        <f t="shared" si="27"/>
        <v>0</v>
      </c>
      <c r="GG30" s="4">
        <f t="shared" si="27"/>
        <v>0</v>
      </c>
      <c r="GH30" s="4">
        <f t="shared" si="27"/>
        <v>0</v>
      </c>
      <c r="GI30" s="4">
        <f t="shared" si="27"/>
        <v>0</v>
      </c>
      <c r="GJ30" s="4">
        <f t="shared" si="27"/>
        <v>0</v>
      </c>
      <c r="GK30" s="4">
        <f t="shared" si="27"/>
        <v>0</v>
      </c>
      <c r="GL30" s="4">
        <f t="shared" si="27"/>
        <v>0</v>
      </c>
      <c r="GM30" s="4">
        <f t="shared" si="27"/>
        <v>0</v>
      </c>
      <c r="GN30" s="4">
        <f t="shared" si="27"/>
        <v>0</v>
      </c>
      <c r="GO30" s="4">
        <f t="shared" si="27"/>
        <v>0</v>
      </c>
      <c r="GP30" s="4">
        <f t="shared" si="27"/>
        <v>0</v>
      </c>
      <c r="GQ30" s="4">
        <f t="shared" si="27"/>
        <v>0</v>
      </c>
      <c r="GR30" s="4">
        <f t="shared" si="27"/>
        <v>0</v>
      </c>
      <c r="GS30" s="4">
        <f t="shared" si="27"/>
        <v>0</v>
      </c>
      <c r="GT30" s="4">
        <f t="shared" si="27"/>
        <v>0</v>
      </c>
      <c r="GU30" s="4">
        <f t="shared" si="27"/>
        <v>0</v>
      </c>
      <c r="GV30" s="4">
        <f t="shared" si="27"/>
        <v>0</v>
      </c>
      <c r="GW30" s="4">
        <f t="shared" si="27"/>
        <v>0</v>
      </c>
      <c r="GX30" s="4">
        <f t="shared" si="27"/>
        <v>0</v>
      </c>
    </row>
    <row r="32" spans="1:255">
      <c r="A32" s="2">
        <v>19</v>
      </c>
      <c r="B32" s="2">
        <v>1</v>
      </c>
      <c r="C32" s="2"/>
      <c r="D32" s="2"/>
      <c r="E32" s="2"/>
      <c r="F32" s="2" t="s">
        <v>6</v>
      </c>
      <c r="G32" s="2" t="s">
        <v>23</v>
      </c>
      <c r="H32" s="2" t="s">
        <v>6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>
        <v>1</v>
      </c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>
        <v>0</v>
      </c>
      <c r="IL32" s="2"/>
      <c r="IM32" s="2"/>
      <c r="IN32" s="2"/>
      <c r="IO32" s="2"/>
      <c r="IP32" s="2"/>
      <c r="IQ32" s="2"/>
      <c r="IR32" s="2"/>
      <c r="IS32" s="2"/>
      <c r="IT32" s="2"/>
      <c r="IU32" s="2"/>
    </row>
    <row r="33" spans="1:255">
      <c r="A33" s="2">
        <v>17</v>
      </c>
      <c r="B33" s="2">
        <v>1</v>
      </c>
      <c r="C33" s="2"/>
      <c r="D33" s="2"/>
      <c r="E33" s="2" t="s">
        <v>24</v>
      </c>
      <c r="F33" s="2" t="s">
        <v>25</v>
      </c>
      <c r="G33" s="2" t="s">
        <v>26</v>
      </c>
      <c r="H33" s="2" t="s">
        <v>27</v>
      </c>
      <c r="I33" s="2">
        <f>ROUND((800)/100*0.75,9)</f>
        <v>6</v>
      </c>
      <c r="J33" s="2">
        <v>0</v>
      </c>
      <c r="K33" s="2">
        <f>ROUND((800)/100*0.75,9)</f>
        <v>6</v>
      </c>
      <c r="L33" s="2"/>
      <c r="M33" s="2"/>
      <c r="N33" s="2"/>
      <c r="O33" s="2">
        <f t="shared" ref="O33:O48" si="28">ROUND(CP33,2)</f>
        <v>1705.98</v>
      </c>
      <c r="P33" s="2">
        <f t="shared" ref="P33:P48" si="29">ROUND((ROUND((AC33*AW33*I33),2)*BC33),2)</f>
        <v>0</v>
      </c>
      <c r="Q33" s="2">
        <f t="shared" ref="Q33:Q48" si="30">(ROUND((ROUND(((ET33)*AV33*I33),2)*BB33),2)+ROUND((ROUND(((AE33-(EU33))*AV33*I33),2)*BS33),2))</f>
        <v>33.299999999999997</v>
      </c>
      <c r="R33" s="2">
        <f t="shared" ref="R33:R48" si="31">ROUND((ROUND((AE33*AV33*I33),2)*BS33),2)</f>
        <v>3.78</v>
      </c>
      <c r="S33" s="2">
        <f t="shared" ref="S33:S48" si="32">ROUND((ROUND((AF33*AV33*I33),2)*BA33),2)</f>
        <v>1672.68</v>
      </c>
      <c r="T33" s="2">
        <f t="shared" ref="T33:T48" si="33">ROUND(CU33*I33,2)</f>
        <v>0</v>
      </c>
      <c r="U33" s="2">
        <f t="shared" ref="U33:U48" si="34">CV33*I33</f>
        <v>160.68</v>
      </c>
      <c r="V33" s="2">
        <f t="shared" ref="V33:V48" si="35">CW33*I33</f>
        <v>0</v>
      </c>
      <c r="W33" s="2">
        <f t="shared" ref="W33:W48" si="36">ROUND(CX33*I33,2)</f>
        <v>0</v>
      </c>
      <c r="X33" s="2">
        <f t="shared" ref="X33:X48" si="37">ROUND(CY33,2)</f>
        <v>3127.91</v>
      </c>
      <c r="Y33" s="2">
        <f t="shared" ref="Y33:Y48" si="38">ROUND(CZ33,2)</f>
        <v>1689.41</v>
      </c>
      <c r="Z33" s="2"/>
      <c r="AA33" s="2">
        <v>70322058</v>
      </c>
      <c r="AB33" s="2">
        <f t="shared" ref="AB33:AB48" si="39">ROUND((AC33+AD33+AF33),6)</f>
        <v>284.33</v>
      </c>
      <c r="AC33" s="2">
        <f t="shared" ref="AC33:AC48" si="40">ROUND((ES33),6)</f>
        <v>0</v>
      </c>
      <c r="AD33" s="2">
        <f t="shared" ref="AD33:AD48" si="41">ROUND((((ET33)-(EU33))+AE33),6)</f>
        <v>5.55</v>
      </c>
      <c r="AE33" s="2">
        <f t="shared" ref="AE33:AE48" si="42">ROUND((EU33),6)</f>
        <v>0.63</v>
      </c>
      <c r="AF33" s="2">
        <f t="shared" ref="AF33:AF48" si="43">ROUND((EV33),6)</f>
        <v>278.77999999999997</v>
      </c>
      <c r="AG33" s="2">
        <f t="shared" ref="AG33:AG48" si="44">ROUND((AP33),6)</f>
        <v>0</v>
      </c>
      <c r="AH33" s="2">
        <f t="shared" ref="AH33:AH48" si="45">(EW33)</f>
        <v>26.78</v>
      </c>
      <c r="AI33" s="2">
        <f t="shared" ref="AI33:AI48" si="46">(EX33)</f>
        <v>0</v>
      </c>
      <c r="AJ33" s="2">
        <f t="shared" ref="AJ33:AJ48" si="47">(AS33)</f>
        <v>0</v>
      </c>
      <c r="AK33" s="2">
        <v>284.33</v>
      </c>
      <c r="AL33" s="2">
        <v>0</v>
      </c>
      <c r="AM33" s="2">
        <v>5.55</v>
      </c>
      <c r="AN33" s="2">
        <v>0.63</v>
      </c>
      <c r="AO33" s="2">
        <v>278.77999999999997</v>
      </c>
      <c r="AP33" s="2">
        <v>0</v>
      </c>
      <c r="AQ33" s="2">
        <v>26.78</v>
      </c>
      <c r="AR33" s="2">
        <v>0</v>
      </c>
      <c r="AS33" s="2">
        <v>0</v>
      </c>
      <c r="AT33" s="2">
        <v>187</v>
      </c>
      <c r="AU33" s="2">
        <v>101</v>
      </c>
      <c r="AV33" s="2">
        <v>1</v>
      </c>
      <c r="AW33" s="2">
        <v>1</v>
      </c>
      <c r="AX33" s="2"/>
      <c r="AY33" s="2"/>
      <c r="AZ33" s="2">
        <v>1</v>
      </c>
      <c r="BA33" s="2">
        <v>1</v>
      </c>
      <c r="BB33" s="2">
        <v>1</v>
      </c>
      <c r="BC33" s="2">
        <v>1</v>
      </c>
      <c r="BD33" s="2" t="s">
        <v>6</v>
      </c>
      <c r="BE33" s="2" t="s">
        <v>6</v>
      </c>
      <c r="BF33" s="2" t="s">
        <v>6</v>
      </c>
      <c r="BG33" s="2" t="s">
        <v>6</v>
      </c>
      <c r="BH33" s="2">
        <v>0</v>
      </c>
      <c r="BI33" s="2">
        <v>1</v>
      </c>
      <c r="BJ33" s="2" t="s">
        <v>28</v>
      </c>
      <c r="BK33" s="2"/>
      <c r="BL33" s="2"/>
      <c r="BM33" s="2">
        <v>295</v>
      </c>
      <c r="BN33" s="2">
        <v>0</v>
      </c>
      <c r="BO33" s="2" t="s">
        <v>6</v>
      </c>
      <c r="BP33" s="2">
        <v>0</v>
      </c>
      <c r="BQ33" s="2">
        <v>30</v>
      </c>
      <c r="BR33" s="2">
        <v>0</v>
      </c>
      <c r="BS33" s="2">
        <v>1</v>
      </c>
      <c r="BT33" s="2">
        <v>1</v>
      </c>
      <c r="BU33" s="2">
        <v>1</v>
      </c>
      <c r="BV33" s="2">
        <v>1</v>
      </c>
      <c r="BW33" s="2">
        <v>1</v>
      </c>
      <c r="BX33" s="2">
        <v>1</v>
      </c>
      <c r="BY33" s="2" t="s">
        <v>6</v>
      </c>
      <c r="BZ33" s="2">
        <v>187</v>
      </c>
      <c r="CA33" s="2">
        <v>101</v>
      </c>
      <c r="CB33" s="2" t="s">
        <v>6</v>
      </c>
      <c r="CC33" s="2"/>
      <c r="CD33" s="2"/>
      <c r="CE33" s="2">
        <v>30</v>
      </c>
      <c r="CF33" s="2">
        <v>0</v>
      </c>
      <c r="CG33" s="2">
        <v>0</v>
      </c>
      <c r="CH33" s="2"/>
      <c r="CI33" s="2"/>
      <c r="CJ33" s="2"/>
      <c r="CK33" s="2"/>
      <c r="CL33" s="2"/>
      <c r="CM33" s="2">
        <v>0</v>
      </c>
      <c r="CN33" s="2" t="s">
        <v>6</v>
      </c>
      <c r="CO33" s="2">
        <v>0</v>
      </c>
      <c r="CP33" s="2">
        <f t="shared" ref="CP33:CP48" si="48">(P33+Q33+S33)</f>
        <v>1705.98</v>
      </c>
      <c r="CQ33" s="2">
        <f t="shared" ref="CQ33:CQ48" si="49">ROUND((ROUND((AC33*AW33*1),2)*BC33),2)</f>
        <v>0</v>
      </c>
      <c r="CR33" s="2">
        <f t="shared" ref="CR33:CR48" si="50">(ROUND((ROUND(((ET33)*AV33*1),2)*BB33),2)+ROUND((ROUND(((AE33-(EU33))*AV33*1),2)*BS33),2))</f>
        <v>5.55</v>
      </c>
      <c r="CS33" s="2">
        <f t="shared" ref="CS33:CS48" si="51">ROUND((ROUND((AE33*AV33*1),2)*BS33),2)</f>
        <v>0.63</v>
      </c>
      <c r="CT33" s="2">
        <f t="shared" ref="CT33:CT48" si="52">ROUND((ROUND((AF33*AV33*1),2)*BA33),2)</f>
        <v>278.77999999999997</v>
      </c>
      <c r="CU33" s="2">
        <f t="shared" ref="CU33:CU48" si="53">AG33</f>
        <v>0</v>
      </c>
      <c r="CV33" s="2">
        <f t="shared" ref="CV33:CV48" si="54">(AH33*AV33)</f>
        <v>26.78</v>
      </c>
      <c r="CW33" s="2">
        <f t="shared" ref="CW33:CW48" si="55">AI33</f>
        <v>0</v>
      </c>
      <c r="CX33" s="2">
        <f t="shared" ref="CX33:CX48" si="56">AJ33</f>
        <v>0</v>
      </c>
      <c r="CY33" s="2">
        <f>((S33*BZ33)/100)</f>
        <v>3127.9116000000004</v>
      </c>
      <c r="CZ33" s="2">
        <f>((S33*CA33)/100)</f>
        <v>1689.4068</v>
      </c>
      <c r="DA33" s="2"/>
      <c r="DB33" s="2"/>
      <c r="DC33" s="2" t="s">
        <v>6</v>
      </c>
      <c r="DD33" s="2" t="s">
        <v>6</v>
      </c>
      <c r="DE33" s="2" t="s">
        <v>6</v>
      </c>
      <c r="DF33" s="2" t="s">
        <v>6</v>
      </c>
      <c r="DG33" s="2" t="s">
        <v>6</v>
      </c>
      <c r="DH33" s="2" t="s">
        <v>6</v>
      </c>
      <c r="DI33" s="2" t="s">
        <v>6</v>
      </c>
      <c r="DJ33" s="2" t="s">
        <v>6</v>
      </c>
      <c r="DK33" s="2" t="s">
        <v>6</v>
      </c>
      <c r="DL33" s="2" t="s">
        <v>6</v>
      </c>
      <c r="DM33" s="2" t="s">
        <v>6</v>
      </c>
      <c r="DN33" s="2">
        <v>0</v>
      </c>
      <c r="DO33" s="2">
        <v>0</v>
      </c>
      <c r="DP33" s="2">
        <v>1</v>
      </c>
      <c r="DQ33" s="2">
        <v>1</v>
      </c>
      <c r="DR33" s="2"/>
      <c r="DS33" s="2"/>
      <c r="DT33" s="2"/>
      <c r="DU33" s="2">
        <v>1005</v>
      </c>
      <c r="DV33" s="2" t="s">
        <v>27</v>
      </c>
      <c r="DW33" s="2" t="s">
        <v>27</v>
      </c>
      <c r="DX33" s="2">
        <v>100</v>
      </c>
      <c r="DY33" s="2"/>
      <c r="DZ33" s="2" t="s">
        <v>6</v>
      </c>
      <c r="EA33" s="2" t="s">
        <v>6</v>
      </c>
      <c r="EB33" s="2" t="s">
        <v>6</v>
      </c>
      <c r="EC33" s="2" t="s">
        <v>6</v>
      </c>
      <c r="ED33" s="2"/>
      <c r="EE33" s="2">
        <v>69252920</v>
      </c>
      <c r="EF33" s="2">
        <v>30</v>
      </c>
      <c r="EG33" s="2" t="s">
        <v>29</v>
      </c>
      <c r="EH33" s="2">
        <v>0</v>
      </c>
      <c r="EI33" s="2" t="s">
        <v>6</v>
      </c>
      <c r="EJ33" s="2">
        <v>1</v>
      </c>
      <c r="EK33" s="2">
        <v>295</v>
      </c>
      <c r="EL33" s="2" t="s">
        <v>30</v>
      </c>
      <c r="EM33" s="2" t="s">
        <v>31</v>
      </c>
      <c r="EN33" s="2"/>
      <c r="EO33" s="2" t="s">
        <v>6</v>
      </c>
      <c r="EP33" s="2"/>
      <c r="EQ33" s="2">
        <v>0</v>
      </c>
      <c r="ER33" s="2">
        <v>284.33</v>
      </c>
      <c r="ES33" s="2">
        <v>0</v>
      </c>
      <c r="ET33" s="2">
        <v>5.55</v>
      </c>
      <c r="EU33" s="2">
        <v>0.63</v>
      </c>
      <c r="EV33" s="2">
        <v>278.77999999999997</v>
      </c>
      <c r="EW33" s="2">
        <v>26.78</v>
      </c>
      <c r="EX33" s="2">
        <v>0</v>
      </c>
      <c r="EY33" s="2">
        <v>0</v>
      </c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>
        <v>0</v>
      </c>
      <c r="FR33" s="2">
        <f t="shared" ref="FR33:FR48" si="57">ROUND(IF(BI33=3,GM33,0),2)</f>
        <v>0</v>
      </c>
      <c r="FS33" s="2">
        <v>0</v>
      </c>
      <c r="FT33" s="2"/>
      <c r="FU33" s="2"/>
      <c r="FV33" s="2"/>
      <c r="FW33" s="2"/>
      <c r="FX33" s="2">
        <v>187</v>
      </c>
      <c r="FY33" s="2">
        <v>101</v>
      </c>
      <c r="FZ33" s="2"/>
      <c r="GA33" s="2" t="s">
        <v>6</v>
      </c>
      <c r="GB33" s="2"/>
      <c r="GC33" s="2"/>
      <c r="GD33" s="2">
        <v>0</v>
      </c>
      <c r="GE33" s="2"/>
      <c r="GF33" s="2">
        <v>287506391</v>
      </c>
      <c r="GG33" s="2">
        <v>2</v>
      </c>
      <c r="GH33" s="2">
        <v>1</v>
      </c>
      <c r="GI33" s="2">
        <v>-2</v>
      </c>
      <c r="GJ33" s="2">
        <v>0</v>
      </c>
      <c r="GK33" s="2">
        <f>ROUND(R33*(R12)/100,2)</f>
        <v>6.62</v>
      </c>
      <c r="GL33" s="2">
        <f t="shared" ref="GL33:GL48" si="58">ROUND(IF(AND(BH33=3,BI33=3,FS33&lt;&gt;0),P33,0),2)</f>
        <v>0</v>
      </c>
      <c r="GM33" s="2">
        <f t="shared" ref="GM33:GM48" si="59">ROUND(O33+X33+Y33+GK33,2)+GX33</f>
        <v>6529.92</v>
      </c>
      <c r="GN33" s="2">
        <f t="shared" ref="GN33:GN48" si="60">IF(OR(BI33=0,BI33=1),GM33-GX33,0)</f>
        <v>6529.92</v>
      </c>
      <c r="GO33" s="2">
        <f t="shared" ref="GO33:GO48" si="61">IF(BI33=2,GM33-GX33,0)</f>
        <v>0</v>
      </c>
      <c r="GP33" s="2">
        <f t="shared" ref="GP33:GP48" si="62">IF(BI33=4,GM33-GX33,0)</f>
        <v>0</v>
      </c>
      <c r="GQ33" s="2"/>
      <c r="GR33" s="2">
        <v>0</v>
      </c>
      <c r="GS33" s="2">
        <v>3</v>
      </c>
      <c r="GT33" s="2">
        <v>0</v>
      </c>
      <c r="GU33" s="2" t="s">
        <v>6</v>
      </c>
      <c r="GV33" s="2">
        <f t="shared" ref="GV33:GV48" si="63">ROUND((GT33),6)</f>
        <v>0</v>
      </c>
      <c r="GW33" s="2">
        <v>1</v>
      </c>
      <c r="GX33" s="2">
        <f t="shared" ref="GX33:GX48" si="64">ROUND(HC33*I33,2)</f>
        <v>0</v>
      </c>
      <c r="GY33" s="2"/>
      <c r="GZ33" s="2"/>
      <c r="HA33" s="2">
        <v>0</v>
      </c>
      <c r="HB33" s="2">
        <v>0</v>
      </c>
      <c r="HC33" s="2">
        <f t="shared" ref="HC33:HC48" si="65">GV33*GW33</f>
        <v>0</v>
      </c>
      <c r="HD33" s="2"/>
      <c r="HE33" s="2" t="s">
        <v>6</v>
      </c>
      <c r="HF33" s="2" t="s">
        <v>6</v>
      </c>
      <c r="HG33" s="2"/>
      <c r="HH33" s="2"/>
      <c r="HI33" s="2"/>
      <c r="HJ33" s="2"/>
      <c r="HK33" s="2"/>
      <c r="HL33" s="2"/>
      <c r="HM33" s="2" t="s">
        <v>6</v>
      </c>
      <c r="HN33" s="2" t="s">
        <v>6</v>
      </c>
      <c r="HO33" s="2" t="s">
        <v>6</v>
      </c>
      <c r="HP33" s="2" t="s">
        <v>6</v>
      </c>
      <c r="HQ33" s="2" t="s">
        <v>6</v>
      </c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>
        <v>0</v>
      </c>
      <c r="IL33" s="2"/>
      <c r="IM33" s="2"/>
      <c r="IN33" s="2"/>
      <c r="IO33" s="2"/>
      <c r="IP33" s="2"/>
      <c r="IQ33" s="2"/>
      <c r="IR33" s="2"/>
      <c r="IS33" s="2"/>
      <c r="IT33" s="2"/>
      <c r="IU33" s="2"/>
    </row>
    <row r="34" spans="1:255">
      <c r="A34">
        <v>17</v>
      </c>
      <c r="B34">
        <v>1</v>
      </c>
      <c r="E34" t="s">
        <v>24</v>
      </c>
      <c r="F34" t="s">
        <v>25</v>
      </c>
      <c r="G34" t="s">
        <v>26</v>
      </c>
      <c r="H34" t="s">
        <v>27</v>
      </c>
      <c r="I34">
        <f>ROUND((800)/100*0.75,9)</f>
        <v>6</v>
      </c>
      <c r="J34">
        <v>0</v>
      </c>
      <c r="K34">
        <f>ROUND((800)/100*0.75,9)</f>
        <v>6</v>
      </c>
      <c r="O34">
        <f t="shared" si="28"/>
        <v>78547.83</v>
      </c>
      <c r="P34">
        <f t="shared" si="29"/>
        <v>0</v>
      </c>
      <c r="Q34">
        <f t="shared" si="30"/>
        <v>483.85</v>
      </c>
      <c r="R34">
        <f t="shared" si="31"/>
        <v>176.41</v>
      </c>
      <c r="S34">
        <f t="shared" si="32"/>
        <v>78063.98</v>
      </c>
      <c r="T34">
        <f t="shared" si="33"/>
        <v>0</v>
      </c>
      <c r="U34">
        <f t="shared" si="34"/>
        <v>160.68</v>
      </c>
      <c r="V34">
        <f t="shared" si="35"/>
        <v>0</v>
      </c>
      <c r="W34">
        <f t="shared" si="36"/>
        <v>0</v>
      </c>
      <c r="X34">
        <f t="shared" si="37"/>
        <v>81967.179999999993</v>
      </c>
      <c r="Y34">
        <f t="shared" si="38"/>
        <v>37470.71</v>
      </c>
      <c r="AA34">
        <v>70322059</v>
      </c>
      <c r="AB34">
        <f t="shared" si="39"/>
        <v>284.33</v>
      </c>
      <c r="AC34">
        <f t="shared" si="40"/>
        <v>0</v>
      </c>
      <c r="AD34">
        <f t="shared" si="41"/>
        <v>5.55</v>
      </c>
      <c r="AE34">
        <f t="shared" si="42"/>
        <v>0.63</v>
      </c>
      <c r="AF34">
        <f t="shared" si="43"/>
        <v>278.77999999999997</v>
      </c>
      <c r="AG34">
        <f t="shared" si="44"/>
        <v>0</v>
      </c>
      <c r="AH34">
        <f t="shared" si="45"/>
        <v>26.78</v>
      </c>
      <c r="AI34">
        <f t="shared" si="46"/>
        <v>0</v>
      </c>
      <c r="AJ34">
        <f t="shared" si="47"/>
        <v>0</v>
      </c>
      <c r="AK34">
        <v>284.33</v>
      </c>
      <c r="AL34">
        <v>0</v>
      </c>
      <c r="AM34">
        <v>5.55</v>
      </c>
      <c r="AN34">
        <v>0.63</v>
      </c>
      <c r="AO34">
        <v>278.77999999999997</v>
      </c>
      <c r="AP34">
        <v>0</v>
      </c>
      <c r="AQ34">
        <v>26.78</v>
      </c>
      <c r="AR34">
        <v>0</v>
      </c>
      <c r="AS34">
        <v>0</v>
      </c>
      <c r="AT34">
        <v>105</v>
      </c>
      <c r="AU34">
        <v>48</v>
      </c>
      <c r="AV34">
        <v>1</v>
      </c>
      <c r="AW34">
        <v>1</v>
      </c>
      <c r="AZ34">
        <v>1</v>
      </c>
      <c r="BA34">
        <v>46.67</v>
      </c>
      <c r="BB34">
        <v>14.53</v>
      </c>
      <c r="BC34">
        <v>1</v>
      </c>
      <c r="BD34" t="s">
        <v>6</v>
      </c>
      <c r="BE34" t="s">
        <v>6</v>
      </c>
      <c r="BF34" t="s">
        <v>6</v>
      </c>
      <c r="BG34" t="s">
        <v>6</v>
      </c>
      <c r="BH34">
        <v>0</v>
      </c>
      <c r="BI34">
        <v>1</v>
      </c>
      <c r="BJ34" t="s">
        <v>28</v>
      </c>
      <c r="BM34">
        <v>295</v>
      </c>
      <c r="BN34">
        <v>0</v>
      </c>
      <c r="BO34" t="s">
        <v>25</v>
      </c>
      <c r="BP34">
        <v>1</v>
      </c>
      <c r="BQ34">
        <v>30</v>
      </c>
      <c r="BR34">
        <v>0</v>
      </c>
      <c r="BS34">
        <v>46.67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6</v>
      </c>
      <c r="BZ34">
        <v>105</v>
      </c>
      <c r="CA34">
        <v>48</v>
      </c>
      <c r="CB34" t="s">
        <v>6</v>
      </c>
      <c r="CE34">
        <v>30</v>
      </c>
      <c r="CF34">
        <v>0</v>
      </c>
      <c r="CG34">
        <v>0</v>
      </c>
      <c r="CM34">
        <v>0</v>
      </c>
      <c r="CN34" t="s">
        <v>6</v>
      </c>
      <c r="CO34">
        <v>0</v>
      </c>
      <c r="CP34">
        <f t="shared" si="48"/>
        <v>78547.83</v>
      </c>
      <c r="CQ34">
        <f t="shared" si="49"/>
        <v>0</v>
      </c>
      <c r="CR34">
        <f t="shared" si="50"/>
        <v>80.64</v>
      </c>
      <c r="CS34">
        <f t="shared" si="51"/>
        <v>29.4</v>
      </c>
      <c r="CT34">
        <f t="shared" si="52"/>
        <v>13010.66</v>
      </c>
      <c r="CU34">
        <f t="shared" si="53"/>
        <v>0</v>
      </c>
      <c r="CV34">
        <f t="shared" si="54"/>
        <v>26.78</v>
      </c>
      <c r="CW34">
        <f t="shared" si="55"/>
        <v>0</v>
      </c>
      <c r="CX34">
        <f t="shared" si="56"/>
        <v>0</v>
      </c>
      <c r="CY34">
        <f>S34*(BZ34/100)</f>
        <v>81967.179000000004</v>
      </c>
      <c r="CZ34">
        <f>S34*(CA34/100)</f>
        <v>37470.710399999996</v>
      </c>
      <c r="DC34" t="s">
        <v>6</v>
      </c>
      <c r="DD34" t="s">
        <v>6</v>
      </c>
      <c r="DE34" t="s">
        <v>6</v>
      </c>
      <c r="DF34" t="s">
        <v>6</v>
      </c>
      <c r="DG34" t="s">
        <v>6</v>
      </c>
      <c r="DH34" t="s">
        <v>6</v>
      </c>
      <c r="DI34" t="s">
        <v>6</v>
      </c>
      <c r="DJ34" t="s">
        <v>6</v>
      </c>
      <c r="DK34" t="s">
        <v>6</v>
      </c>
      <c r="DL34" t="s">
        <v>6</v>
      </c>
      <c r="DM34" t="s">
        <v>6</v>
      </c>
      <c r="DN34">
        <v>187</v>
      </c>
      <c r="DO34">
        <v>101</v>
      </c>
      <c r="DP34">
        <v>1</v>
      </c>
      <c r="DQ34">
        <v>1</v>
      </c>
      <c r="DU34">
        <v>1005</v>
      </c>
      <c r="DV34" t="s">
        <v>27</v>
      </c>
      <c r="DW34" t="s">
        <v>27</v>
      </c>
      <c r="DX34">
        <v>100</v>
      </c>
      <c r="DZ34" t="s">
        <v>6</v>
      </c>
      <c r="EA34" t="s">
        <v>6</v>
      </c>
      <c r="EB34" t="s">
        <v>6</v>
      </c>
      <c r="EC34" t="s">
        <v>6</v>
      </c>
      <c r="EE34">
        <v>69252920</v>
      </c>
      <c r="EF34">
        <v>30</v>
      </c>
      <c r="EG34" t="s">
        <v>29</v>
      </c>
      <c r="EH34">
        <v>0</v>
      </c>
      <c r="EI34" t="s">
        <v>6</v>
      </c>
      <c r="EJ34">
        <v>1</v>
      </c>
      <c r="EK34">
        <v>295</v>
      </c>
      <c r="EL34" t="s">
        <v>30</v>
      </c>
      <c r="EM34" t="s">
        <v>31</v>
      </c>
      <c r="EO34" t="s">
        <v>6</v>
      </c>
      <c r="EQ34">
        <v>0</v>
      </c>
      <c r="ER34">
        <v>284.33</v>
      </c>
      <c r="ES34">
        <v>0</v>
      </c>
      <c r="ET34">
        <v>5.55</v>
      </c>
      <c r="EU34">
        <v>0.63</v>
      </c>
      <c r="EV34">
        <v>278.77999999999997</v>
      </c>
      <c r="EW34">
        <v>26.78</v>
      </c>
      <c r="EX34">
        <v>0</v>
      </c>
      <c r="EY34">
        <v>0</v>
      </c>
      <c r="FQ34">
        <v>0</v>
      </c>
      <c r="FR34">
        <f t="shared" si="57"/>
        <v>0</v>
      </c>
      <c r="FS34">
        <v>0</v>
      </c>
      <c r="FX34">
        <v>187</v>
      </c>
      <c r="FY34">
        <v>101</v>
      </c>
      <c r="GA34" t="s">
        <v>6</v>
      </c>
      <c r="GD34">
        <v>0</v>
      </c>
      <c r="GF34">
        <v>287506391</v>
      </c>
      <c r="GG34">
        <v>2</v>
      </c>
      <c r="GH34">
        <v>1</v>
      </c>
      <c r="GI34">
        <v>2</v>
      </c>
      <c r="GJ34">
        <v>0</v>
      </c>
      <c r="GK34">
        <f>ROUND(R34*(S12)/100,2)</f>
        <v>282.26</v>
      </c>
      <c r="GL34">
        <f t="shared" si="58"/>
        <v>0</v>
      </c>
      <c r="GM34">
        <f t="shared" si="59"/>
        <v>198267.98</v>
      </c>
      <c r="GN34">
        <f t="shared" si="60"/>
        <v>198267.98</v>
      </c>
      <c r="GO34">
        <f t="shared" si="61"/>
        <v>0</v>
      </c>
      <c r="GP34">
        <f t="shared" si="62"/>
        <v>0</v>
      </c>
      <c r="GR34">
        <v>0</v>
      </c>
      <c r="GS34">
        <v>0</v>
      </c>
      <c r="GT34">
        <v>0</v>
      </c>
      <c r="GU34" t="s">
        <v>6</v>
      </c>
      <c r="GV34">
        <f t="shared" si="63"/>
        <v>0</v>
      </c>
      <c r="GW34">
        <v>1</v>
      </c>
      <c r="GX34">
        <f t="shared" si="64"/>
        <v>0</v>
      </c>
      <c r="HA34">
        <v>0</v>
      </c>
      <c r="HB34">
        <v>0</v>
      </c>
      <c r="HC34">
        <f t="shared" si="65"/>
        <v>0</v>
      </c>
      <c r="HE34" t="s">
        <v>6</v>
      </c>
      <c r="HF34" t="s">
        <v>6</v>
      </c>
      <c r="HM34" t="s">
        <v>6</v>
      </c>
      <c r="HN34" t="s">
        <v>6</v>
      </c>
      <c r="HO34" t="s">
        <v>6</v>
      </c>
      <c r="HP34" t="s">
        <v>6</v>
      </c>
      <c r="HQ34" t="s">
        <v>6</v>
      </c>
      <c r="IK34">
        <v>0</v>
      </c>
    </row>
    <row r="35" spans="1:255">
      <c r="A35" s="2">
        <v>18</v>
      </c>
      <c r="B35" s="2">
        <v>1</v>
      </c>
      <c r="C35" s="2"/>
      <c r="D35" s="2"/>
      <c r="E35" s="2" t="s">
        <v>32</v>
      </c>
      <c r="F35" s="2" t="s">
        <v>33</v>
      </c>
      <c r="G35" s="2" t="s">
        <v>34</v>
      </c>
      <c r="H35" s="2" t="s">
        <v>35</v>
      </c>
      <c r="I35" s="2">
        <f>I33*J35</f>
        <v>90</v>
      </c>
      <c r="J35" s="2">
        <v>15</v>
      </c>
      <c r="K35" s="2">
        <v>15</v>
      </c>
      <c r="L35" s="2"/>
      <c r="M35" s="2"/>
      <c r="N35" s="2"/>
      <c r="O35" s="2">
        <f t="shared" si="28"/>
        <v>13215.6</v>
      </c>
      <c r="P35" s="2">
        <f t="shared" si="29"/>
        <v>13215.6</v>
      </c>
      <c r="Q35" s="2">
        <f t="shared" si="30"/>
        <v>0</v>
      </c>
      <c r="R35" s="2">
        <f t="shared" si="31"/>
        <v>0</v>
      </c>
      <c r="S35" s="2">
        <f t="shared" si="32"/>
        <v>0</v>
      </c>
      <c r="T35" s="2">
        <f t="shared" si="33"/>
        <v>0</v>
      </c>
      <c r="U35" s="2">
        <f t="shared" si="34"/>
        <v>0</v>
      </c>
      <c r="V35" s="2">
        <f t="shared" si="35"/>
        <v>0</v>
      </c>
      <c r="W35" s="2">
        <f t="shared" si="36"/>
        <v>0</v>
      </c>
      <c r="X35" s="2">
        <f t="shared" si="37"/>
        <v>0</v>
      </c>
      <c r="Y35" s="2">
        <f t="shared" si="38"/>
        <v>0</v>
      </c>
      <c r="Z35" s="2"/>
      <c r="AA35" s="2">
        <v>70322058</v>
      </c>
      <c r="AB35" s="2">
        <f t="shared" si="39"/>
        <v>146.84</v>
      </c>
      <c r="AC35" s="2">
        <f t="shared" si="40"/>
        <v>146.84</v>
      </c>
      <c r="AD35" s="2">
        <f t="shared" si="41"/>
        <v>0</v>
      </c>
      <c r="AE35" s="2">
        <f t="shared" si="42"/>
        <v>0</v>
      </c>
      <c r="AF35" s="2">
        <f t="shared" si="43"/>
        <v>0</v>
      </c>
      <c r="AG35" s="2">
        <f t="shared" si="44"/>
        <v>0</v>
      </c>
      <c r="AH35" s="2">
        <f t="shared" si="45"/>
        <v>0</v>
      </c>
      <c r="AI35" s="2">
        <f t="shared" si="46"/>
        <v>0</v>
      </c>
      <c r="AJ35" s="2">
        <f t="shared" si="47"/>
        <v>0</v>
      </c>
      <c r="AK35" s="2">
        <v>146.84</v>
      </c>
      <c r="AL35" s="2">
        <v>146.84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187</v>
      </c>
      <c r="AU35" s="2">
        <v>101</v>
      </c>
      <c r="AV35" s="2">
        <v>1</v>
      </c>
      <c r="AW35" s="2">
        <v>1</v>
      </c>
      <c r="AX35" s="2"/>
      <c r="AY35" s="2"/>
      <c r="AZ35" s="2">
        <v>1</v>
      </c>
      <c r="BA35" s="2">
        <v>1</v>
      </c>
      <c r="BB35" s="2">
        <v>1</v>
      </c>
      <c r="BC35" s="2">
        <v>1</v>
      </c>
      <c r="BD35" s="2" t="s">
        <v>6</v>
      </c>
      <c r="BE35" s="2" t="s">
        <v>6</v>
      </c>
      <c r="BF35" s="2" t="s">
        <v>6</v>
      </c>
      <c r="BG35" s="2" t="s">
        <v>6</v>
      </c>
      <c r="BH35" s="2">
        <v>3</v>
      </c>
      <c r="BI35" s="2">
        <v>1</v>
      </c>
      <c r="BJ35" s="2" t="s">
        <v>36</v>
      </c>
      <c r="BK35" s="2"/>
      <c r="BL35" s="2"/>
      <c r="BM35" s="2">
        <v>295</v>
      </c>
      <c r="BN35" s="2">
        <v>0</v>
      </c>
      <c r="BO35" s="2" t="s">
        <v>6</v>
      </c>
      <c r="BP35" s="2">
        <v>0</v>
      </c>
      <c r="BQ35" s="2">
        <v>30</v>
      </c>
      <c r="BR35" s="2">
        <v>0</v>
      </c>
      <c r="BS35" s="2">
        <v>1</v>
      </c>
      <c r="BT35" s="2">
        <v>1</v>
      </c>
      <c r="BU35" s="2">
        <v>1</v>
      </c>
      <c r="BV35" s="2">
        <v>1</v>
      </c>
      <c r="BW35" s="2">
        <v>1</v>
      </c>
      <c r="BX35" s="2">
        <v>1</v>
      </c>
      <c r="BY35" s="2" t="s">
        <v>6</v>
      </c>
      <c r="BZ35" s="2">
        <v>187</v>
      </c>
      <c r="CA35" s="2">
        <v>101</v>
      </c>
      <c r="CB35" s="2" t="s">
        <v>6</v>
      </c>
      <c r="CC35" s="2"/>
      <c r="CD35" s="2"/>
      <c r="CE35" s="2">
        <v>30</v>
      </c>
      <c r="CF35" s="2">
        <v>0</v>
      </c>
      <c r="CG35" s="2">
        <v>0</v>
      </c>
      <c r="CH35" s="2"/>
      <c r="CI35" s="2"/>
      <c r="CJ35" s="2"/>
      <c r="CK35" s="2"/>
      <c r="CL35" s="2"/>
      <c r="CM35" s="2">
        <v>0</v>
      </c>
      <c r="CN35" s="2" t="s">
        <v>6</v>
      </c>
      <c r="CO35" s="2">
        <v>0</v>
      </c>
      <c r="CP35" s="2">
        <f t="shared" si="48"/>
        <v>13215.6</v>
      </c>
      <c r="CQ35" s="2">
        <f t="shared" si="49"/>
        <v>146.84</v>
      </c>
      <c r="CR35" s="2">
        <f t="shared" si="50"/>
        <v>0</v>
      </c>
      <c r="CS35" s="2">
        <f t="shared" si="51"/>
        <v>0</v>
      </c>
      <c r="CT35" s="2">
        <f t="shared" si="52"/>
        <v>0</v>
      </c>
      <c r="CU35" s="2">
        <f t="shared" si="53"/>
        <v>0</v>
      </c>
      <c r="CV35" s="2">
        <f t="shared" si="54"/>
        <v>0</v>
      </c>
      <c r="CW35" s="2">
        <f t="shared" si="55"/>
        <v>0</v>
      </c>
      <c r="CX35" s="2">
        <f t="shared" si="56"/>
        <v>0</v>
      </c>
      <c r="CY35" s="2">
        <f>((S35*BZ35)/100)</f>
        <v>0</v>
      </c>
      <c r="CZ35" s="2">
        <f>((S35*CA35)/100)</f>
        <v>0</v>
      </c>
      <c r="DA35" s="2"/>
      <c r="DB35" s="2"/>
      <c r="DC35" s="2" t="s">
        <v>6</v>
      </c>
      <c r="DD35" s="2" t="s">
        <v>6</v>
      </c>
      <c r="DE35" s="2" t="s">
        <v>6</v>
      </c>
      <c r="DF35" s="2" t="s">
        <v>6</v>
      </c>
      <c r="DG35" s="2" t="s">
        <v>6</v>
      </c>
      <c r="DH35" s="2" t="s">
        <v>6</v>
      </c>
      <c r="DI35" s="2" t="s">
        <v>6</v>
      </c>
      <c r="DJ35" s="2" t="s">
        <v>6</v>
      </c>
      <c r="DK35" s="2" t="s">
        <v>6</v>
      </c>
      <c r="DL35" s="2" t="s">
        <v>6</v>
      </c>
      <c r="DM35" s="2" t="s">
        <v>6</v>
      </c>
      <c r="DN35" s="2">
        <v>0</v>
      </c>
      <c r="DO35" s="2">
        <v>0</v>
      </c>
      <c r="DP35" s="2">
        <v>1</v>
      </c>
      <c r="DQ35" s="2">
        <v>1</v>
      </c>
      <c r="DR35" s="2"/>
      <c r="DS35" s="2"/>
      <c r="DT35" s="2"/>
      <c r="DU35" s="2">
        <v>1007</v>
      </c>
      <c r="DV35" s="2" t="s">
        <v>35</v>
      </c>
      <c r="DW35" s="2" t="s">
        <v>35</v>
      </c>
      <c r="DX35" s="2">
        <v>1</v>
      </c>
      <c r="DY35" s="2"/>
      <c r="DZ35" s="2" t="s">
        <v>6</v>
      </c>
      <c r="EA35" s="2" t="s">
        <v>6</v>
      </c>
      <c r="EB35" s="2" t="s">
        <v>6</v>
      </c>
      <c r="EC35" s="2" t="s">
        <v>6</v>
      </c>
      <c r="ED35" s="2"/>
      <c r="EE35" s="2">
        <v>69252920</v>
      </c>
      <c r="EF35" s="2">
        <v>30</v>
      </c>
      <c r="EG35" s="2" t="s">
        <v>29</v>
      </c>
      <c r="EH35" s="2">
        <v>0</v>
      </c>
      <c r="EI35" s="2" t="s">
        <v>6</v>
      </c>
      <c r="EJ35" s="2">
        <v>1</v>
      </c>
      <c r="EK35" s="2">
        <v>295</v>
      </c>
      <c r="EL35" s="2" t="s">
        <v>30</v>
      </c>
      <c r="EM35" s="2" t="s">
        <v>31</v>
      </c>
      <c r="EN35" s="2"/>
      <c r="EO35" s="2" t="s">
        <v>6</v>
      </c>
      <c r="EP35" s="2"/>
      <c r="EQ35" s="2">
        <v>0</v>
      </c>
      <c r="ER35" s="2">
        <v>146.84</v>
      </c>
      <c r="ES35" s="2">
        <v>146.84</v>
      </c>
      <c r="ET35" s="2">
        <v>0</v>
      </c>
      <c r="EU35" s="2">
        <v>0</v>
      </c>
      <c r="EV35" s="2">
        <v>0</v>
      </c>
      <c r="EW35" s="2">
        <v>0</v>
      </c>
      <c r="EX35" s="2">
        <v>0</v>
      </c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>
        <v>0</v>
      </c>
      <c r="FR35" s="2">
        <f t="shared" si="57"/>
        <v>0</v>
      </c>
      <c r="FS35" s="2">
        <v>0</v>
      </c>
      <c r="FT35" s="2"/>
      <c r="FU35" s="2"/>
      <c r="FV35" s="2"/>
      <c r="FW35" s="2"/>
      <c r="FX35" s="2">
        <v>187</v>
      </c>
      <c r="FY35" s="2">
        <v>101</v>
      </c>
      <c r="FZ35" s="2"/>
      <c r="GA35" s="2" t="s">
        <v>6</v>
      </c>
      <c r="GB35" s="2"/>
      <c r="GC35" s="2"/>
      <c r="GD35" s="2">
        <v>0</v>
      </c>
      <c r="GE35" s="2"/>
      <c r="GF35" s="2">
        <v>331308664</v>
      </c>
      <c r="GG35" s="2">
        <v>2</v>
      </c>
      <c r="GH35" s="2">
        <v>1</v>
      </c>
      <c r="GI35" s="2">
        <v>-2</v>
      </c>
      <c r="GJ35" s="2">
        <v>0</v>
      </c>
      <c r="GK35" s="2">
        <f>ROUND(R35*(R12)/100,2)</f>
        <v>0</v>
      </c>
      <c r="GL35" s="2">
        <f t="shared" si="58"/>
        <v>0</v>
      </c>
      <c r="GM35" s="2">
        <f t="shared" si="59"/>
        <v>13215.6</v>
      </c>
      <c r="GN35" s="2">
        <f t="shared" si="60"/>
        <v>13215.6</v>
      </c>
      <c r="GO35" s="2">
        <f t="shared" si="61"/>
        <v>0</v>
      </c>
      <c r="GP35" s="2">
        <f t="shared" si="62"/>
        <v>0</v>
      </c>
      <c r="GQ35" s="2"/>
      <c r="GR35" s="2">
        <v>0</v>
      </c>
      <c r="GS35" s="2">
        <v>3</v>
      </c>
      <c r="GT35" s="2">
        <v>0</v>
      </c>
      <c r="GU35" s="2" t="s">
        <v>6</v>
      </c>
      <c r="GV35" s="2">
        <f t="shared" si="63"/>
        <v>0</v>
      </c>
      <c r="GW35" s="2">
        <v>1</v>
      </c>
      <c r="GX35" s="2">
        <f t="shared" si="64"/>
        <v>0</v>
      </c>
      <c r="GY35" s="2"/>
      <c r="GZ35" s="2"/>
      <c r="HA35" s="2">
        <v>0</v>
      </c>
      <c r="HB35" s="2">
        <v>0</v>
      </c>
      <c r="HC35" s="2">
        <f t="shared" si="65"/>
        <v>0</v>
      </c>
      <c r="HD35" s="2"/>
      <c r="HE35" s="2" t="s">
        <v>6</v>
      </c>
      <c r="HF35" s="2" t="s">
        <v>6</v>
      </c>
      <c r="HG35" s="2"/>
      <c r="HH35" s="2"/>
      <c r="HI35" s="2"/>
      <c r="HJ35" s="2"/>
      <c r="HK35" s="2"/>
      <c r="HL35" s="2"/>
      <c r="HM35" s="2" t="s">
        <v>6</v>
      </c>
      <c r="HN35" s="2" t="s">
        <v>6</v>
      </c>
      <c r="HO35" s="2" t="s">
        <v>6</v>
      </c>
      <c r="HP35" s="2" t="s">
        <v>6</v>
      </c>
      <c r="HQ35" s="2" t="s">
        <v>6</v>
      </c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>
        <v>0</v>
      </c>
      <c r="IL35" s="2"/>
      <c r="IM35" s="2"/>
      <c r="IN35" s="2"/>
      <c r="IO35" s="2"/>
      <c r="IP35" s="2"/>
      <c r="IQ35" s="2"/>
      <c r="IR35" s="2"/>
      <c r="IS35" s="2"/>
      <c r="IT35" s="2"/>
      <c r="IU35" s="2"/>
    </row>
    <row r="36" spans="1:255">
      <c r="A36">
        <v>18</v>
      </c>
      <c r="B36">
        <v>1</v>
      </c>
      <c r="E36" t="s">
        <v>32</v>
      </c>
      <c r="F36" t="s">
        <v>33</v>
      </c>
      <c r="G36" t="s">
        <v>34</v>
      </c>
      <c r="H36" t="s">
        <v>35</v>
      </c>
      <c r="I36">
        <f>I34*J36</f>
        <v>90</v>
      </c>
      <c r="J36">
        <v>15</v>
      </c>
      <c r="K36">
        <v>15</v>
      </c>
      <c r="O36">
        <f t="shared" si="28"/>
        <v>103213.84</v>
      </c>
      <c r="P36">
        <f t="shared" si="29"/>
        <v>103213.84</v>
      </c>
      <c r="Q36">
        <f t="shared" si="30"/>
        <v>0</v>
      </c>
      <c r="R36">
        <f t="shared" si="31"/>
        <v>0</v>
      </c>
      <c r="S36">
        <f t="shared" si="32"/>
        <v>0</v>
      </c>
      <c r="T36">
        <f t="shared" si="33"/>
        <v>0</v>
      </c>
      <c r="U36">
        <f t="shared" si="34"/>
        <v>0</v>
      </c>
      <c r="V36">
        <f t="shared" si="35"/>
        <v>0</v>
      </c>
      <c r="W36">
        <f t="shared" si="36"/>
        <v>0</v>
      </c>
      <c r="X36">
        <f t="shared" si="37"/>
        <v>0</v>
      </c>
      <c r="Y36">
        <f t="shared" si="38"/>
        <v>0</v>
      </c>
      <c r="AA36">
        <v>70322059</v>
      </c>
      <c r="AB36">
        <f t="shared" si="39"/>
        <v>146.84</v>
      </c>
      <c r="AC36">
        <f t="shared" si="40"/>
        <v>146.84</v>
      </c>
      <c r="AD36">
        <f t="shared" si="41"/>
        <v>0</v>
      </c>
      <c r="AE36">
        <f t="shared" si="42"/>
        <v>0</v>
      </c>
      <c r="AF36">
        <f t="shared" si="43"/>
        <v>0</v>
      </c>
      <c r="AG36">
        <f t="shared" si="44"/>
        <v>0</v>
      </c>
      <c r="AH36">
        <f t="shared" si="45"/>
        <v>0</v>
      </c>
      <c r="AI36">
        <f t="shared" si="46"/>
        <v>0</v>
      </c>
      <c r="AJ36">
        <f t="shared" si="47"/>
        <v>0</v>
      </c>
      <c r="AK36">
        <v>146.84</v>
      </c>
      <c r="AL36">
        <v>146.84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7.81</v>
      </c>
      <c r="BD36" t="s">
        <v>6</v>
      </c>
      <c r="BE36" t="s">
        <v>6</v>
      </c>
      <c r="BF36" t="s">
        <v>6</v>
      </c>
      <c r="BG36" t="s">
        <v>6</v>
      </c>
      <c r="BH36">
        <v>3</v>
      </c>
      <c r="BI36">
        <v>1</v>
      </c>
      <c r="BJ36" t="s">
        <v>36</v>
      </c>
      <c r="BM36">
        <v>295</v>
      </c>
      <c r="BN36">
        <v>0</v>
      </c>
      <c r="BO36" t="s">
        <v>33</v>
      </c>
      <c r="BP36">
        <v>1</v>
      </c>
      <c r="BQ36">
        <v>30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6</v>
      </c>
      <c r="BZ36">
        <v>0</v>
      </c>
      <c r="CA36">
        <v>0</v>
      </c>
      <c r="CB36" t="s">
        <v>6</v>
      </c>
      <c r="CE36">
        <v>30</v>
      </c>
      <c r="CF36">
        <v>0</v>
      </c>
      <c r="CG36">
        <v>0</v>
      </c>
      <c r="CM36">
        <v>0</v>
      </c>
      <c r="CN36" t="s">
        <v>6</v>
      </c>
      <c r="CO36">
        <v>0</v>
      </c>
      <c r="CP36">
        <f t="shared" si="48"/>
        <v>103213.84</v>
      </c>
      <c r="CQ36">
        <f t="shared" si="49"/>
        <v>1146.82</v>
      </c>
      <c r="CR36">
        <f t="shared" si="50"/>
        <v>0</v>
      </c>
      <c r="CS36">
        <f t="shared" si="51"/>
        <v>0</v>
      </c>
      <c r="CT36">
        <f t="shared" si="52"/>
        <v>0</v>
      </c>
      <c r="CU36">
        <f t="shared" si="53"/>
        <v>0</v>
      </c>
      <c r="CV36">
        <f t="shared" si="54"/>
        <v>0</v>
      </c>
      <c r="CW36">
        <f t="shared" si="55"/>
        <v>0</v>
      </c>
      <c r="CX36">
        <f t="shared" si="56"/>
        <v>0</v>
      </c>
      <c r="CY36">
        <f>S36*(BZ36/100)</f>
        <v>0</v>
      </c>
      <c r="CZ36">
        <f>S36*(CA36/100)</f>
        <v>0</v>
      </c>
      <c r="DC36" t="s">
        <v>6</v>
      </c>
      <c r="DD36" t="s">
        <v>6</v>
      </c>
      <c r="DE36" t="s">
        <v>6</v>
      </c>
      <c r="DF36" t="s">
        <v>6</v>
      </c>
      <c r="DG36" t="s">
        <v>6</v>
      </c>
      <c r="DH36" t="s">
        <v>6</v>
      </c>
      <c r="DI36" t="s">
        <v>6</v>
      </c>
      <c r="DJ36" t="s">
        <v>6</v>
      </c>
      <c r="DK36" t="s">
        <v>6</v>
      </c>
      <c r="DL36" t="s">
        <v>6</v>
      </c>
      <c r="DM36" t="s">
        <v>6</v>
      </c>
      <c r="DN36">
        <v>187</v>
      </c>
      <c r="DO36">
        <v>101</v>
      </c>
      <c r="DP36">
        <v>1</v>
      </c>
      <c r="DQ36">
        <v>1</v>
      </c>
      <c r="DU36">
        <v>1007</v>
      </c>
      <c r="DV36" t="s">
        <v>35</v>
      </c>
      <c r="DW36" t="s">
        <v>35</v>
      </c>
      <c r="DX36">
        <v>1</v>
      </c>
      <c r="DZ36" t="s">
        <v>6</v>
      </c>
      <c r="EA36" t="s">
        <v>6</v>
      </c>
      <c r="EB36" t="s">
        <v>6</v>
      </c>
      <c r="EC36" t="s">
        <v>6</v>
      </c>
      <c r="EE36">
        <v>69252920</v>
      </c>
      <c r="EF36">
        <v>30</v>
      </c>
      <c r="EG36" t="s">
        <v>29</v>
      </c>
      <c r="EH36">
        <v>0</v>
      </c>
      <c r="EI36" t="s">
        <v>6</v>
      </c>
      <c r="EJ36">
        <v>1</v>
      </c>
      <c r="EK36">
        <v>295</v>
      </c>
      <c r="EL36" t="s">
        <v>30</v>
      </c>
      <c r="EM36" t="s">
        <v>31</v>
      </c>
      <c r="EO36" t="s">
        <v>6</v>
      </c>
      <c r="EQ36">
        <v>0</v>
      </c>
      <c r="ER36">
        <v>146.84</v>
      </c>
      <c r="ES36">
        <v>146.84</v>
      </c>
      <c r="ET36">
        <v>0</v>
      </c>
      <c r="EU36">
        <v>0</v>
      </c>
      <c r="EV36">
        <v>0</v>
      </c>
      <c r="EW36">
        <v>0</v>
      </c>
      <c r="EX36">
        <v>0</v>
      </c>
      <c r="FQ36">
        <v>0</v>
      </c>
      <c r="FR36">
        <f t="shared" si="57"/>
        <v>0</v>
      </c>
      <c r="FS36">
        <v>0</v>
      </c>
      <c r="FX36">
        <v>187</v>
      </c>
      <c r="FY36">
        <v>101</v>
      </c>
      <c r="GA36" t="s">
        <v>6</v>
      </c>
      <c r="GD36">
        <v>0</v>
      </c>
      <c r="GF36">
        <v>331308664</v>
      </c>
      <c r="GG36">
        <v>2</v>
      </c>
      <c r="GH36">
        <v>1</v>
      </c>
      <c r="GI36">
        <v>2</v>
      </c>
      <c r="GJ36">
        <v>0</v>
      </c>
      <c r="GK36">
        <f>ROUND(R36*(S12)/100,2)</f>
        <v>0</v>
      </c>
      <c r="GL36">
        <f t="shared" si="58"/>
        <v>0</v>
      </c>
      <c r="GM36">
        <f t="shared" si="59"/>
        <v>103213.84</v>
      </c>
      <c r="GN36">
        <f t="shared" si="60"/>
        <v>103213.84</v>
      </c>
      <c r="GO36">
        <f t="shared" si="61"/>
        <v>0</v>
      </c>
      <c r="GP36">
        <f t="shared" si="62"/>
        <v>0</v>
      </c>
      <c r="GR36">
        <v>0</v>
      </c>
      <c r="GS36">
        <v>0</v>
      </c>
      <c r="GT36">
        <v>0</v>
      </c>
      <c r="GU36" t="s">
        <v>6</v>
      </c>
      <c r="GV36">
        <f t="shared" si="63"/>
        <v>0</v>
      </c>
      <c r="GW36">
        <v>1</v>
      </c>
      <c r="GX36">
        <f t="shared" si="64"/>
        <v>0</v>
      </c>
      <c r="HA36">
        <v>0</v>
      </c>
      <c r="HB36">
        <v>0</v>
      </c>
      <c r="HC36">
        <f t="shared" si="65"/>
        <v>0</v>
      </c>
      <c r="HE36" t="s">
        <v>6</v>
      </c>
      <c r="HF36" t="s">
        <v>6</v>
      </c>
      <c r="HM36" t="s">
        <v>6</v>
      </c>
      <c r="HN36" t="s">
        <v>6</v>
      </c>
      <c r="HO36" t="s">
        <v>6</v>
      </c>
      <c r="HP36" t="s">
        <v>6</v>
      </c>
      <c r="HQ36" t="s">
        <v>6</v>
      </c>
      <c r="IK36">
        <v>0</v>
      </c>
    </row>
    <row r="37" spans="1:255">
      <c r="A37" s="2">
        <v>17</v>
      </c>
      <c r="B37" s="2">
        <v>1</v>
      </c>
      <c r="C37" s="2"/>
      <c r="D37" s="2"/>
      <c r="E37" s="2" t="s">
        <v>37</v>
      </c>
      <c r="F37" s="2" t="s">
        <v>38</v>
      </c>
      <c r="G37" s="2" t="s">
        <v>39</v>
      </c>
      <c r="H37" s="2" t="s">
        <v>27</v>
      </c>
      <c r="I37" s="2">
        <f>ROUND((800)/100*0.25,9)</f>
        <v>2</v>
      </c>
      <c r="J37" s="2">
        <v>0</v>
      </c>
      <c r="K37" s="2">
        <f>ROUND((800)/100*0.25,9)</f>
        <v>2</v>
      </c>
      <c r="L37" s="2"/>
      <c r="M37" s="2"/>
      <c r="N37" s="2"/>
      <c r="O37" s="2">
        <f t="shared" si="28"/>
        <v>832.8</v>
      </c>
      <c r="P37" s="2">
        <f t="shared" si="29"/>
        <v>0</v>
      </c>
      <c r="Q37" s="2">
        <f t="shared" si="30"/>
        <v>0</v>
      </c>
      <c r="R37" s="2">
        <f t="shared" si="31"/>
        <v>0</v>
      </c>
      <c r="S37" s="2">
        <f t="shared" si="32"/>
        <v>832.8</v>
      </c>
      <c r="T37" s="2">
        <f t="shared" si="33"/>
        <v>0</v>
      </c>
      <c r="U37" s="2">
        <f t="shared" si="34"/>
        <v>80</v>
      </c>
      <c r="V37" s="2">
        <f t="shared" si="35"/>
        <v>0</v>
      </c>
      <c r="W37" s="2">
        <f t="shared" si="36"/>
        <v>0</v>
      </c>
      <c r="X37" s="2">
        <f t="shared" si="37"/>
        <v>1557.34</v>
      </c>
      <c r="Y37" s="2">
        <f t="shared" si="38"/>
        <v>841.13</v>
      </c>
      <c r="Z37" s="2"/>
      <c r="AA37" s="2">
        <v>70322058</v>
      </c>
      <c r="AB37" s="2">
        <f t="shared" si="39"/>
        <v>416.4</v>
      </c>
      <c r="AC37" s="2">
        <f t="shared" si="40"/>
        <v>0</v>
      </c>
      <c r="AD37" s="2">
        <f t="shared" si="41"/>
        <v>0</v>
      </c>
      <c r="AE37" s="2">
        <f t="shared" si="42"/>
        <v>0</v>
      </c>
      <c r="AF37" s="2">
        <f t="shared" si="43"/>
        <v>416.4</v>
      </c>
      <c r="AG37" s="2">
        <f t="shared" si="44"/>
        <v>0</v>
      </c>
      <c r="AH37" s="2">
        <f t="shared" si="45"/>
        <v>40</v>
      </c>
      <c r="AI37" s="2">
        <f t="shared" si="46"/>
        <v>0</v>
      </c>
      <c r="AJ37" s="2">
        <f t="shared" si="47"/>
        <v>0</v>
      </c>
      <c r="AK37" s="2">
        <v>416.4</v>
      </c>
      <c r="AL37" s="2">
        <v>0</v>
      </c>
      <c r="AM37" s="2">
        <v>0</v>
      </c>
      <c r="AN37" s="2">
        <v>0</v>
      </c>
      <c r="AO37" s="2">
        <v>416.4</v>
      </c>
      <c r="AP37" s="2">
        <v>0</v>
      </c>
      <c r="AQ37" s="2">
        <v>40</v>
      </c>
      <c r="AR37" s="2">
        <v>0</v>
      </c>
      <c r="AS37" s="2">
        <v>0</v>
      </c>
      <c r="AT37" s="2">
        <v>187</v>
      </c>
      <c r="AU37" s="2">
        <v>101</v>
      </c>
      <c r="AV37" s="2">
        <v>1</v>
      </c>
      <c r="AW37" s="2">
        <v>1</v>
      </c>
      <c r="AX37" s="2"/>
      <c r="AY37" s="2"/>
      <c r="AZ37" s="2">
        <v>1</v>
      </c>
      <c r="BA37" s="2">
        <v>1</v>
      </c>
      <c r="BB37" s="2">
        <v>1</v>
      </c>
      <c r="BC37" s="2">
        <v>1</v>
      </c>
      <c r="BD37" s="2" t="s">
        <v>6</v>
      </c>
      <c r="BE37" s="2" t="s">
        <v>6</v>
      </c>
      <c r="BF37" s="2" t="s">
        <v>6</v>
      </c>
      <c r="BG37" s="2" t="s">
        <v>6</v>
      </c>
      <c r="BH37" s="2">
        <v>0</v>
      </c>
      <c r="BI37" s="2">
        <v>1</v>
      </c>
      <c r="BJ37" s="2" t="s">
        <v>40</v>
      </c>
      <c r="BK37" s="2"/>
      <c r="BL37" s="2"/>
      <c r="BM37" s="2">
        <v>295</v>
      </c>
      <c r="BN37" s="2">
        <v>0</v>
      </c>
      <c r="BO37" s="2" t="s">
        <v>6</v>
      </c>
      <c r="BP37" s="2">
        <v>0</v>
      </c>
      <c r="BQ37" s="2">
        <v>30</v>
      </c>
      <c r="BR37" s="2">
        <v>0</v>
      </c>
      <c r="BS37" s="2">
        <v>1</v>
      </c>
      <c r="BT37" s="2">
        <v>1</v>
      </c>
      <c r="BU37" s="2">
        <v>1</v>
      </c>
      <c r="BV37" s="2">
        <v>1</v>
      </c>
      <c r="BW37" s="2">
        <v>1</v>
      </c>
      <c r="BX37" s="2">
        <v>1</v>
      </c>
      <c r="BY37" s="2" t="s">
        <v>6</v>
      </c>
      <c r="BZ37" s="2">
        <v>187</v>
      </c>
      <c r="CA37" s="2">
        <v>101</v>
      </c>
      <c r="CB37" s="2" t="s">
        <v>6</v>
      </c>
      <c r="CC37" s="2"/>
      <c r="CD37" s="2"/>
      <c r="CE37" s="2">
        <v>30</v>
      </c>
      <c r="CF37" s="2">
        <v>0</v>
      </c>
      <c r="CG37" s="2">
        <v>0</v>
      </c>
      <c r="CH37" s="2"/>
      <c r="CI37" s="2"/>
      <c r="CJ37" s="2"/>
      <c r="CK37" s="2"/>
      <c r="CL37" s="2"/>
      <c r="CM37" s="2">
        <v>0</v>
      </c>
      <c r="CN37" s="2" t="s">
        <v>6</v>
      </c>
      <c r="CO37" s="2">
        <v>0</v>
      </c>
      <c r="CP37" s="2">
        <f t="shared" si="48"/>
        <v>832.8</v>
      </c>
      <c r="CQ37" s="2">
        <f t="shared" si="49"/>
        <v>0</v>
      </c>
      <c r="CR37" s="2">
        <f t="shared" si="50"/>
        <v>0</v>
      </c>
      <c r="CS37" s="2">
        <f t="shared" si="51"/>
        <v>0</v>
      </c>
      <c r="CT37" s="2">
        <f t="shared" si="52"/>
        <v>416.4</v>
      </c>
      <c r="CU37" s="2">
        <f t="shared" si="53"/>
        <v>0</v>
      </c>
      <c r="CV37" s="2">
        <f t="shared" si="54"/>
        <v>40</v>
      </c>
      <c r="CW37" s="2">
        <f t="shared" si="55"/>
        <v>0</v>
      </c>
      <c r="CX37" s="2">
        <f t="shared" si="56"/>
        <v>0</v>
      </c>
      <c r="CY37" s="2">
        <f>((S37*BZ37)/100)</f>
        <v>1557.336</v>
      </c>
      <c r="CZ37" s="2">
        <f>((S37*CA37)/100)</f>
        <v>841.12799999999993</v>
      </c>
      <c r="DA37" s="2"/>
      <c r="DB37" s="2"/>
      <c r="DC37" s="2" t="s">
        <v>6</v>
      </c>
      <c r="DD37" s="2" t="s">
        <v>6</v>
      </c>
      <c r="DE37" s="2" t="s">
        <v>6</v>
      </c>
      <c r="DF37" s="2" t="s">
        <v>6</v>
      </c>
      <c r="DG37" s="2" t="s">
        <v>6</v>
      </c>
      <c r="DH37" s="2" t="s">
        <v>6</v>
      </c>
      <c r="DI37" s="2" t="s">
        <v>6</v>
      </c>
      <c r="DJ37" s="2" t="s">
        <v>6</v>
      </c>
      <c r="DK37" s="2" t="s">
        <v>6</v>
      </c>
      <c r="DL37" s="2" t="s">
        <v>6</v>
      </c>
      <c r="DM37" s="2" t="s">
        <v>6</v>
      </c>
      <c r="DN37" s="2">
        <v>0</v>
      </c>
      <c r="DO37" s="2">
        <v>0</v>
      </c>
      <c r="DP37" s="2">
        <v>1</v>
      </c>
      <c r="DQ37" s="2">
        <v>1</v>
      </c>
      <c r="DR37" s="2"/>
      <c r="DS37" s="2"/>
      <c r="DT37" s="2"/>
      <c r="DU37" s="2">
        <v>1005</v>
      </c>
      <c r="DV37" s="2" t="s">
        <v>27</v>
      </c>
      <c r="DW37" s="2" t="s">
        <v>27</v>
      </c>
      <c r="DX37" s="2">
        <v>100</v>
      </c>
      <c r="DY37" s="2"/>
      <c r="DZ37" s="2" t="s">
        <v>6</v>
      </c>
      <c r="EA37" s="2" t="s">
        <v>6</v>
      </c>
      <c r="EB37" s="2" t="s">
        <v>6</v>
      </c>
      <c r="EC37" s="2" t="s">
        <v>6</v>
      </c>
      <c r="ED37" s="2"/>
      <c r="EE37" s="2">
        <v>69252920</v>
      </c>
      <c r="EF37" s="2">
        <v>30</v>
      </c>
      <c r="EG37" s="2" t="s">
        <v>29</v>
      </c>
      <c r="EH37" s="2">
        <v>0</v>
      </c>
      <c r="EI37" s="2" t="s">
        <v>6</v>
      </c>
      <c r="EJ37" s="2">
        <v>1</v>
      </c>
      <c r="EK37" s="2">
        <v>295</v>
      </c>
      <c r="EL37" s="2" t="s">
        <v>30</v>
      </c>
      <c r="EM37" s="2" t="s">
        <v>31</v>
      </c>
      <c r="EN37" s="2"/>
      <c r="EO37" s="2" t="s">
        <v>6</v>
      </c>
      <c r="EP37" s="2"/>
      <c r="EQ37" s="2">
        <v>0</v>
      </c>
      <c r="ER37" s="2">
        <v>416.4</v>
      </c>
      <c r="ES37" s="2">
        <v>0</v>
      </c>
      <c r="ET37" s="2">
        <v>0</v>
      </c>
      <c r="EU37" s="2">
        <v>0</v>
      </c>
      <c r="EV37" s="2">
        <v>416.4</v>
      </c>
      <c r="EW37" s="2">
        <v>40</v>
      </c>
      <c r="EX37" s="2">
        <v>0</v>
      </c>
      <c r="EY37" s="2">
        <v>0</v>
      </c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>
        <v>0</v>
      </c>
      <c r="FR37" s="2">
        <f t="shared" si="57"/>
        <v>0</v>
      </c>
      <c r="FS37" s="2">
        <v>0</v>
      </c>
      <c r="FT37" s="2"/>
      <c r="FU37" s="2"/>
      <c r="FV37" s="2"/>
      <c r="FW37" s="2"/>
      <c r="FX37" s="2">
        <v>187</v>
      </c>
      <c r="FY37" s="2">
        <v>101</v>
      </c>
      <c r="FZ37" s="2"/>
      <c r="GA37" s="2" t="s">
        <v>6</v>
      </c>
      <c r="GB37" s="2"/>
      <c r="GC37" s="2"/>
      <c r="GD37" s="2">
        <v>0</v>
      </c>
      <c r="GE37" s="2"/>
      <c r="GF37" s="2">
        <v>-1730139507</v>
      </c>
      <c r="GG37" s="2">
        <v>2</v>
      </c>
      <c r="GH37" s="2">
        <v>1</v>
      </c>
      <c r="GI37" s="2">
        <v>-2</v>
      </c>
      <c r="GJ37" s="2">
        <v>0</v>
      </c>
      <c r="GK37" s="2">
        <f>ROUND(R37*(R12)/100,2)</f>
        <v>0</v>
      </c>
      <c r="GL37" s="2">
        <f t="shared" si="58"/>
        <v>0</v>
      </c>
      <c r="GM37" s="2">
        <f t="shared" si="59"/>
        <v>3231.27</v>
      </c>
      <c r="GN37" s="2">
        <f t="shared" si="60"/>
        <v>3231.27</v>
      </c>
      <c r="GO37" s="2">
        <f t="shared" si="61"/>
        <v>0</v>
      </c>
      <c r="GP37" s="2">
        <f t="shared" si="62"/>
        <v>0</v>
      </c>
      <c r="GQ37" s="2"/>
      <c r="GR37" s="2">
        <v>0</v>
      </c>
      <c r="GS37" s="2">
        <v>3</v>
      </c>
      <c r="GT37" s="2">
        <v>0</v>
      </c>
      <c r="GU37" s="2" t="s">
        <v>6</v>
      </c>
      <c r="GV37" s="2">
        <f t="shared" si="63"/>
        <v>0</v>
      </c>
      <c r="GW37" s="2">
        <v>1</v>
      </c>
      <c r="GX37" s="2">
        <f t="shared" si="64"/>
        <v>0</v>
      </c>
      <c r="GY37" s="2"/>
      <c r="GZ37" s="2"/>
      <c r="HA37" s="2">
        <v>0</v>
      </c>
      <c r="HB37" s="2">
        <v>0</v>
      </c>
      <c r="HC37" s="2">
        <f t="shared" si="65"/>
        <v>0</v>
      </c>
      <c r="HD37" s="2"/>
      <c r="HE37" s="2" t="s">
        <v>6</v>
      </c>
      <c r="HF37" s="2" t="s">
        <v>6</v>
      </c>
      <c r="HG37" s="2"/>
      <c r="HH37" s="2"/>
      <c r="HI37" s="2"/>
      <c r="HJ37" s="2"/>
      <c r="HK37" s="2"/>
      <c r="HL37" s="2"/>
      <c r="HM37" s="2" t="s">
        <v>6</v>
      </c>
      <c r="HN37" s="2" t="s">
        <v>6</v>
      </c>
      <c r="HO37" s="2" t="s">
        <v>6</v>
      </c>
      <c r="HP37" s="2" t="s">
        <v>6</v>
      </c>
      <c r="HQ37" s="2" t="s">
        <v>6</v>
      </c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>
        <v>0</v>
      </c>
      <c r="IL37" s="2"/>
      <c r="IM37" s="2"/>
      <c r="IN37" s="2"/>
      <c r="IO37" s="2"/>
      <c r="IP37" s="2"/>
      <c r="IQ37" s="2"/>
      <c r="IR37" s="2"/>
      <c r="IS37" s="2"/>
      <c r="IT37" s="2"/>
      <c r="IU37" s="2"/>
    </row>
    <row r="38" spans="1:255">
      <c r="A38">
        <v>17</v>
      </c>
      <c r="B38">
        <v>1</v>
      </c>
      <c r="E38" t="s">
        <v>37</v>
      </c>
      <c r="F38" t="s">
        <v>38</v>
      </c>
      <c r="G38" t="s">
        <v>39</v>
      </c>
      <c r="H38" t="s">
        <v>27</v>
      </c>
      <c r="I38">
        <f>ROUND((800)/100*0.25,9)</f>
        <v>2</v>
      </c>
      <c r="J38">
        <v>0</v>
      </c>
      <c r="K38">
        <f>ROUND((800)/100*0.25,9)</f>
        <v>2</v>
      </c>
      <c r="O38">
        <f t="shared" si="28"/>
        <v>38866.78</v>
      </c>
      <c r="P38">
        <f t="shared" si="29"/>
        <v>0</v>
      </c>
      <c r="Q38">
        <f t="shared" si="30"/>
        <v>0</v>
      </c>
      <c r="R38">
        <f t="shared" si="31"/>
        <v>0</v>
      </c>
      <c r="S38">
        <f t="shared" si="32"/>
        <v>38866.78</v>
      </c>
      <c r="T38">
        <f t="shared" si="33"/>
        <v>0</v>
      </c>
      <c r="U38">
        <f t="shared" si="34"/>
        <v>80</v>
      </c>
      <c r="V38">
        <f t="shared" si="35"/>
        <v>0</v>
      </c>
      <c r="W38">
        <f t="shared" si="36"/>
        <v>0</v>
      </c>
      <c r="X38">
        <f t="shared" si="37"/>
        <v>40810.120000000003</v>
      </c>
      <c r="Y38">
        <f t="shared" si="38"/>
        <v>18656.05</v>
      </c>
      <c r="AA38">
        <v>70322059</v>
      </c>
      <c r="AB38">
        <f t="shared" si="39"/>
        <v>416.4</v>
      </c>
      <c r="AC38">
        <f t="shared" si="40"/>
        <v>0</v>
      </c>
      <c r="AD38">
        <f t="shared" si="41"/>
        <v>0</v>
      </c>
      <c r="AE38">
        <f t="shared" si="42"/>
        <v>0</v>
      </c>
      <c r="AF38">
        <f t="shared" si="43"/>
        <v>416.4</v>
      </c>
      <c r="AG38">
        <f t="shared" si="44"/>
        <v>0</v>
      </c>
      <c r="AH38">
        <f t="shared" si="45"/>
        <v>40</v>
      </c>
      <c r="AI38">
        <f t="shared" si="46"/>
        <v>0</v>
      </c>
      <c r="AJ38">
        <f t="shared" si="47"/>
        <v>0</v>
      </c>
      <c r="AK38">
        <v>416.4</v>
      </c>
      <c r="AL38">
        <v>0</v>
      </c>
      <c r="AM38">
        <v>0</v>
      </c>
      <c r="AN38">
        <v>0</v>
      </c>
      <c r="AO38">
        <v>416.4</v>
      </c>
      <c r="AP38">
        <v>0</v>
      </c>
      <c r="AQ38">
        <v>40</v>
      </c>
      <c r="AR38">
        <v>0</v>
      </c>
      <c r="AS38">
        <v>0</v>
      </c>
      <c r="AT38">
        <v>105</v>
      </c>
      <c r="AU38">
        <v>48</v>
      </c>
      <c r="AV38">
        <v>1</v>
      </c>
      <c r="AW38">
        <v>1</v>
      </c>
      <c r="AZ38">
        <v>1</v>
      </c>
      <c r="BA38">
        <v>46.67</v>
      </c>
      <c r="BB38">
        <v>1</v>
      </c>
      <c r="BC38">
        <v>1</v>
      </c>
      <c r="BD38" t="s">
        <v>6</v>
      </c>
      <c r="BE38" t="s">
        <v>6</v>
      </c>
      <c r="BF38" t="s">
        <v>6</v>
      </c>
      <c r="BG38" t="s">
        <v>6</v>
      </c>
      <c r="BH38">
        <v>0</v>
      </c>
      <c r="BI38">
        <v>1</v>
      </c>
      <c r="BJ38" t="s">
        <v>40</v>
      </c>
      <c r="BM38">
        <v>295</v>
      </c>
      <c r="BN38">
        <v>0</v>
      </c>
      <c r="BO38" t="s">
        <v>38</v>
      </c>
      <c r="BP38">
        <v>1</v>
      </c>
      <c r="BQ38">
        <v>30</v>
      </c>
      <c r="BR38">
        <v>0</v>
      </c>
      <c r="BS38">
        <v>46.67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6</v>
      </c>
      <c r="BZ38">
        <v>105</v>
      </c>
      <c r="CA38">
        <v>48</v>
      </c>
      <c r="CB38" t="s">
        <v>6</v>
      </c>
      <c r="CE38">
        <v>30</v>
      </c>
      <c r="CF38">
        <v>0</v>
      </c>
      <c r="CG38">
        <v>0</v>
      </c>
      <c r="CM38">
        <v>0</v>
      </c>
      <c r="CN38" t="s">
        <v>6</v>
      </c>
      <c r="CO38">
        <v>0</v>
      </c>
      <c r="CP38">
        <f t="shared" si="48"/>
        <v>38866.78</v>
      </c>
      <c r="CQ38">
        <f t="shared" si="49"/>
        <v>0</v>
      </c>
      <c r="CR38">
        <f t="shared" si="50"/>
        <v>0</v>
      </c>
      <c r="CS38">
        <f t="shared" si="51"/>
        <v>0</v>
      </c>
      <c r="CT38">
        <f t="shared" si="52"/>
        <v>19433.39</v>
      </c>
      <c r="CU38">
        <f t="shared" si="53"/>
        <v>0</v>
      </c>
      <c r="CV38">
        <f t="shared" si="54"/>
        <v>40</v>
      </c>
      <c r="CW38">
        <f t="shared" si="55"/>
        <v>0</v>
      </c>
      <c r="CX38">
        <f t="shared" si="56"/>
        <v>0</v>
      </c>
      <c r="CY38">
        <f>S38*(BZ38/100)</f>
        <v>40810.118999999999</v>
      </c>
      <c r="CZ38">
        <f>S38*(CA38/100)</f>
        <v>18656.054399999997</v>
      </c>
      <c r="DC38" t="s">
        <v>6</v>
      </c>
      <c r="DD38" t="s">
        <v>6</v>
      </c>
      <c r="DE38" t="s">
        <v>6</v>
      </c>
      <c r="DF38" t="s">
        <v>6</v>
      </c>
      <c r="DG38" t="s">
        <v>6</v>
      </c>
      <c r="DH38" t="s">
        <v>6</v>
      </c>
      <c r="DI38" t="s">
        <v>6</v>
      </c>
      <c r="DJ38" t="s">
        <v>6</v>
      </c>
      <c r="DK38" t="s">
        <v>6</v>
      </c>
      <c r="DL38" t="s">
        <v>6</v>
      </c>
      <c r="DM38" t="s">
        <v>6</v>
      </c>
      <c r="DN38">
        <v>187</v>
      </c>
      <c r="DO38">
        <v>101</v>
      </c>
      <c r="DP38">
        <v>1</v>
      </c>
      <c r="DQ38">
        <v>1</v>
      </c>
      <c r="DU38">
        <v>1005</v>
      </c>
      <c r="DV38" t="s">
        <v>27</v>
      </c>
      <c r="DW38" t="s">
        <v>27</v>
      </c>
      <c r="DX38">
        <v>100</v>
      </c>
      <c r="DZ38" t="s">
        <v>6</v>
      </c>
      <c r="EA38" t="s">
        <v>6</v>
      </c>
      <c r="EB38" t="s">
        <v>6</v>
      </c>
      <c r="EC38" t="s">
        <v>6</v>
      </c>
      <c r="EE38">
        <v>69252920</v>
      </c>
      <c r="EF38">
        <v>30</v>
      </c>
      <c r="EG38" t="s">
        <v>29</v>
      </c>
      <c r="EH38">
        <v>0</v>
      </c>
      <c r="EI38" t="s">
        <v>6</v>
      </c>
      <c r="EJ38">
        <v>1</v>
      </c>
      <c r="EK38">
        <v>295</v>
      </c>
      <c r="EL38" t="s">
        <v>30</v>
      </c>
      <c r="EM38" t="s">
        <v>31</v>
      </c>
      <c r="EO38" t="s">
        <v>6</v>
      </c>
      <c r="EQ38">
        <v>0</v>
      </c>
      <c r="ER38">
        <v>416.4</v>
      </c>
      <c r="ES38">
        <v>0</v>
      </c>
      <c r="ET38">
        <v>0</v>
      </c>
      <c r="EU38">
        <v>0</v>
      </c>
      <c r="EV38">
        <v>416.4</v>
      </c>
      <c r="EW38">
        <v>40</v>
      </c>
      <c r="EX38">
        <v>0</v>
      </c>
      <c r="EY38">
        <v>0</v>
      </c>
      <c r="FQ38">
        <v>0</v>
      </c>
      <c r="FR38">
        <f t="shared" si="57"/>
        <v>0</v>
      </c>
      <c r="FS38">
        <v>0</v>
      </c>
      <c r="FX38">
        <v>187</v>
      </c>
      <c r="FY38">
        <v>101</v>
      </c>
      <c r="GA38" t="s">
        <v>6</v>
      </c>
      <c r="GD38">
        <v>0</v>
      </c>
      <c r="GF38">
        <v>-1730139507</v>
      </c>
      <c r="GG38">
        <v>2</v>
      </c>
      <c r="GH38">
        <v>1</v>
      </c>
      <c r="GI38">
        <v>2</v>
      </c>
      <c r="GJ38">
        <v>0</v>
      </c>
      <c r="GK38">
        <f>ROUND(R38*(S12)/100,2)</f>
        <v>0</v>
      </c>
      <c r="GL38">
        <f t="shared" si="58"/>
        <v>0</v>
      </c>
      <c r="GM38">
        <f t="shared" si="59"/>
        <v>98332.95</v>
      </c>
      <c r="GN38">
        <f t="shared" si="60"/>
        <v>98332.95</v>
      </c>
      <c r="GO38">
        <f t="shared" si="61"/>
        <v>0</v>
      </c>
      <c r="GP38">
        <f t="shared" si="62"/>
        <v>0</v>
      </c>
      <c r="GR38">
        <v>0</v>
      </c>
      <c r="GS38">
        <v>0</v>
      </c>
      <c r="GT38">
        <v>0</v>
      </c>
      <c r="GU38" t="s">
        <v>6</v>
      </c>
      <c r="GV38">
        <f t="shared" si="63"/>
        <v>0</v>
      </c>
      <c r="GW38">
        <v>1</v>
      </c>
      <c r="GX38">
        <f t="shared" si="64"/>
        <v>0</v>
      </c>
      <c r="HA38">
        <v>0</v>
      </c>
      <c r="HB38">
        <v>0</v>
      </c>
      <c r="HC38">
        <f t="shared" si="65"/>
        <v>0</v>
      </c>
      <c r="HE38" t="s">
        <v>6</v>
      </c>
      <c r="HF38" t="s">
        <v>6</v>
      </c>
      <c r="HM38" t="s">
        <v>6</v>
      </c>
      <c r="HN38" t="s">
        <v>6</v>
      </c>
      <c r="HO38" t="s">
        <v>6</v>
      </c>
      <c r="HP38" t="s">
        <v>6</v>
      </c>
      <c r="HQ38" t="s">
        <v>6</v>
      </c>
      <c r="IK38">
        <v>0</v>
      </c>
    </row>
    <row r="39" spans="1:255">
      <c r="A39" s="2">
        <v>18</v>
      </c>
      <c r="B39" s="2">
        <v>1</v>
      </c>
      <c r="C39" s="2"/>
      <c r="D39" s="2"/>
      <c r="E39" s="2" t="s">
        <v>41</v>
      </c>
      <c r="F39" s="2" t="s">
        <v>33</v>
      </c>
      <c r="G39" s="2" t="s">
        <v>34</v>
      </c>
      <c r="H39" s="2" t="s">
        <v>35</v>
      </c>
      <c r="I39" s="2">
        <f>I37*J39</f>
        <v>30</v>
      </c>
      <c r="J39" s="2">
        <v>15</v>
      </c>
      <c r="K39" s="2">
        <v>15</v>
      </c>
      <c r="L39" s="2"/>
      <c r="M39" s="2"/>
      <c r="N39" s="2"/>
      <c r="O39" s="2">
        <f t="shared" si="28"/>
        <v>4405.2</v>
      </c>
      <c r="P39" s="2">
        <f t="shared" si="29"/>
        <v>4405.2</v>
      </c>
      <c r="Q39" s="2">
        <f t="shared" si="30"/>
        <v>0</v>
      </c>
      <c r="R39" s="2">
        <f t="shared" si="31"/>
        <v>0</v>
      </c>
      <c r="S39" s="2">
        <f t="shared" si="32"/>
        <v>0</v>
      </c>
      <c r="T39" s="2">
        <f t="shared" si="33"/>
        <v>0</v>
      </c>
      <c r="U39" s="2">
        <f t="shared" si="34"/>
        <v>0</v>
      </c>
      <c r="V39" s="2">
        <f t="shared" si="35"/>
        <v>0</v>
      </c>
      <c r="W39" s="2">
        <f t="shared" si="36"/>
        <v>0</v>
      </c>
      <c r="X39" s="2">
        <f t="shared" si="37"/>
        <v>0</v>
      </c>
      <c r="Y39" s="2">
        <f t="shared" si="38"/>
        <v>0</v>
      </c>
      <c r="Z39" s="2"/>
      <c r="AA39" s="2">
        <v>70322058</v>
      </c>
      <c r="AB39" s="2">
        <f t="shared" si="39"/>
        <v>146.84</v>
      </c>
      <c r="AC39" s="2">
        <f t="shared" si="40"/>
        <v>146.84</v>
      </c>
      <c r="AD39" s="2">
        <f t="shared" si="41"/>
        <v>0</v>
      </c>
      <c r="AE39" s="2">
        <f t="shared" si="42"/>
        <v>0</v>
      </c>
      <c r="AF39" s="2">
        <f t="shared" si="43"/>
        <v>0</v>
      </c>
      <c r="AG39" s="2">
        <f t="shared" si="44"/>
        <v>0</v>
      </c>
      <c r="AH39" s="2">
        <f t="shared" si="45"/>
        <v>0</v>
      </c>
      <c r="AI39" s="2">
        <f t="shared" si="46"/>
        <v>0</v>
      </c>
      <c r="AJ39" s="2">
        <f t="shared" si="47"/>
        <v>0</v>
      </c>
      <c r="AK39" s="2">
        <v>146.84</v>
      </c>
      <c r="AL39" s="2">
        <v>146.84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187</v>
      </c>
      <c r="AU39" s="2">
        <v>101</v>
      </c>
      <c r="AV39" s="2">
        <v>1</v>
      </c>
      <c r="AW39" s="2">
        <v>1</v>
      </c>
      <c r="AX39" s="2"/>
      <c r="AY39" s="2"/>
      <c r="AZ39" s="2">
        <v>1</v>
      </c>
      <c r="BA39" s="2">
        <v>1</v>
      </c>
      <c r="BB39" s="2">
        <v>1</v>
      </c>
      <c r="BC39" s="2">
        <v>1</v>
      </c>
      <c r="BD39" s="2" t="s">
        <v>6</v>
      </c>
      <c r="BE39" s="2" t="s">
        <v>6</v>
      </c>
      <c r="BF39" s="2" t="s">
        <v>6</v>
      </c>
      <c r="BG39" s="2" t="s">
        <v>6</v>
      </c>
      <c r="BH39" s="2">
        <v>3</v>
      </c>
      <c r="BI39" s="2">
        <v>1</v>
      </c>
      <c r="BJ39" s="2" t="s">
        <v>36</v>
      </c>
      <c r="BK39" s="2"/>
      <c r="BL39" s="2"/>
      <c r="BM39" s="2">
        <v>295</v>
      </c>
      <c r="BN39" s="2">
        <v>0</v>
      </c>
      <c r="BO39" s="2" t="s">
        <v>6</v>
      </c>
      <c r="BP39" s="2">
        <v>0</v>
      </c>
      <c r="BQ39" s="2">
        <v>30</v>
      </c>
      <c r="BR39" s="2">
        <v>0</v>
      </c>
      <c r="BS39" s="2">
        <v>1</v>
      </c>
      <c r="BT39" s="2">
        <v>1</v>
      </c>
      <c r="BU39" s="2">
        <v>1</v>
      </c>
      <c r="BV39" s="2">
        <v>1</v>
      </c>
      <c r="BW39" s="2">
        <v>1</v>
      </c>
      <c r="BX39" s="2">
        <v>1</v>
      </c>
      <c r="BY39" s="2" t="s">
        <v>6</v>
      </c>
      <c r="BZ39" s="2">
        <v>187</v>
      </c>
      <c r="CA39" s="2">
        <v>101</v>
      </c>
      <c r="CB39" s="2" t="s">
        <v>6</v>
      </c>
      <c r="CC39" s="2"/>
      <c r="CD39" s="2"/>
      <c r="CE39" s="2">
        <v>30</v>
      </c>
      <c r="CF39" s="2">
        <v>0</v>
      </c>
      <c r="CG39" s="2">
        <v>0</v>
      </c>
      <c r="CH39" s="2"/>
      <c r="CI39" s="2"/>
      <c r="CJ39" s="2"/>
      <c r="CK39" s="2"/>
      <c r="CL39" s="2"/>
      <c r="CM39" s="2">
        <v>0</v>
      </c>
      <c r="CN39" s="2" t="s">
        <v>6</v>
      </c>
      <c r="CO39" s="2">
        <v>0</v>
      </c>
      <c r="CP39" s="2">
        <f t="shared" si="48"/>
        <v>4405.2</v>
      </c>
      <c r="CQ39" s="2">
        <f t="shared" si="49"/>
        <v>146.84</v>
      </c>
      <c r="CR39" s="2">
        <f t="shared" si="50"/>
        <v>0</v>
      </c>
      <c r="CS39" s="2">
        <f t="shared" si="51"/>
        <v>0</v>
      </c>
      <c r="CT39" s="2">
        <f t="shared" si="52"/>
        <v>0</v>
      </c>
      <c r="CU39" s="2">
        <f t="shared" si="53"/>
        <v>0</v>
      </c>
      <c r="CV39" s="2">
        <f t="shared" si="54"/>
        <v>0</v>
      </c>
      <c r="CW39" s="2">
        <f t="shared" si="55"/>
        <v>0</v>
      </c>
      <c r="CX39" s="2">
        <f t="shared" si="56"/>
        <v>0</v>
      </c>
      <c r="CY39" s="2">
        <f>((S39*BZ39)/100)</f>
        <v>0</v>
      </c>
      <c r="CZ39" s="2">
        <f>((S39*CA39)/100)</f>
        <v>0</v>
      </c>
      <c r="DA39" s="2"/>
      <c r="DB39" s="2"/>
      <c r="DC39" s="2" t="s">
        <v>6</v>
      </c>
      <c r="DD39" s="2" t="s">
        <v>6</v>
      </c>
      <c r="DE39" s="2" t="s">
        <v>6</v>
      </c>
      <c r="DF39" s="2" t="s">
        <v>6</v>
      </c>
      <c r="DG39" s="2" t="s">
        <v>6</v>
      </c>
      <c r="DH39" s="2" t="s">
        <v>6</v>
      </c>
      <c r="DI39" s="2" t="s">
        <v>6</v>
      </c>
      <c r="DJ39" s="2" t="s">
        <v>6</v>
      </c>
      <c r="DK39" s="2" t="s">
        <v>6</v>
      </c>
      <c r="DL39" s="2" t="s">
        <v>6</v>
      </c>
      <c r="DM39" s="2" t="s">
        <v>6</v>
      </c>
      <c r="DN39" s="2">
        <v>0</v>
      </c>
      <c r="DO39" s="2">
        <v>0</v>
      </c>
      <c r="DP39" s="2">
        <v>1</v>
      </c>
      <c r="DQ39" s="2">
        <v>1</v>
      </c>
      <c r="DR39" s="2"/>
      <c r="DS39" s="2"/>
      <c r="DT39" s="2"/>
      <c r="DU39" s="2">
        <v>1007</v>
      </c>
      <c r="DV39" s="2" t="s">
        <v>35</v>
      </c>
      <c r="DW39" s="2" t="s">
        <v>35</v>
      </c>
      <c r="DX39" s="2">
        <v>1</v>
      </c>
      <c r="DY39" s="2"/>
      <c r="DZ39" s="2" t="s">
        <v>6</v>
      </c>
      <c r="EA39" s="2" t="s">
        <v>6</v>
      </c>
      <c r="EB39" s="2" t="s">
        <v>6</v>
      </c>
      <c r="EC39" s="2" t="s">
        <v>6</v>
      </c>
      <c r="ED39" s="2"/>
      <c r="EE39" s="2">
        <v>69252920</v>
      </c>
      <c r="EF39" s="2">
        <v>30</v>
      </c>
      <c r="EG39" s="2" t="s">
        <v>29</v>
      </c>
      <c r="EH39" s="2">
        <v>0</v>
      </c>
      <c r="EI39" s="2" t="s">
        <v>6</v>
      </c>
      <c r="EJ39" s="2">
        <v>1</v>
      </c>
      <c r="EK39" s="2">
        <v>295</v>
      </c>
      <c r="EL39" s="2" t="s">
        <v>30</v>
      </c>
      <c r="EM39" s="2" t="s">
        <v>31</v>
      </c>
      <c r="EN39" s="2"/>
      <c r="EO39" s="2" t="s">
        <v>6</v>
      </c>
      <c r="EP39" s="2"/>
      <c r="EQ39" s="2">
        <v>0</v>
      </c>
      <c r="ER39" s="2">
        <v>146.84</v>
      </c>
      <c r="ES39" s="2">
        <v>146.84</v>
      </c>
      <c r="ET39" s="2">
        <v>0</v>
      </c>
      <c r="EU39" s="2">
        <v>0</v>
      </c>
      <c r="EV39" s="2">
        <v>0</v>
      </c>
      <c r="EW39" s="2">
        <v>0</v>
      </c>
      <c r="EX39" s="2">
        <v>0</v>
      </c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>
        <v>0</v>
      </c>
      <c r="FR39" s="2">
        <f t="shared" si="57"/>
        <v>0</v>
      </c>
      <c r="FS39" s="2">
        <v>0</v>
      </c>
      <c r="FT39" s="2"/>
      <c r="FU39" s="2"/>
      <c r="FV39" s="2"/>
      <c r="FW39" s="2"/>
      <c r="FX39" s="2">
        <v>187</v>
      </c>
      <c r="FY39" s="2">
        <v>101</v>
      </c>
      <c r="FZ39" s="2"/>
      <c r="GA39" s="2" t="s">
        <v>6</v>
      </c>
      <c r="GB39" s="2"/>
      <c r="GC39" s="2"/>
      <c r="GD39" s="2">
        <v>0</v>
      </c>
      <c r="GE39" s="2"/>
      <c r="GF39" s="2">
        <v>331308664</v>
      </c>
      <c r="GG39" s="2">
        <v>2</v>
      </c>
      <c r="GH39" s="2">
        <v>1</v>
      </c>
      <c r="GI39" s="2">
        <v>-2</v>
      </c>
      <c r="GJ39" s="2">
        <v>0</v>
      </c>
      <c r="GK39" s="2">
        <f>ROUND(R39*(R12)/100,2)</f>
        <v>0</v>
      </c>
      <c r="GL39" s="2">
        <f t="shared" si="58"/>
        <v>0</v>
      </c>
      <c r="GM39" s="2">
        <f t="shared" si="59"/>
        <v>4405.2</v>
      </c>
      <c r="GN39" s="2">
        <f t="shared" si="60"/>
        <v>4405.2</v>
      </c>
      <c r="GO39" s="2">
        <f t="shared" si="61"/>
        <v>0</v>
      </c>
      <c r="GP39" s="2">
        <f t="shared" si="62"/>
        <v>0</v>
      </c>
      <c r="GQ39" s="2"/>
      <c r="GR39" s="2">
        <v>0</v>
      </c>
      <c r="GS39" s="2">
        <v>3</v>
      </c>
      <c r="GT39" s="2">
        <v>0</v>
      </c>
      <c r="GU39" s="2" t="s">
        <v>6</v>
      </c>
      <c r="GV39" s="2">
        <f t="shared" si="63"/>
        <v>0</v>
      </c>
      <c r="GW39" s="2">
        <v>1</v>
      </c>
      <c r="GX39" s="2">
        <f t="shared" si="64"/>
        <v>0</v>
      </c>
      <c r="GY39" s="2"/>
      <c r="GZ39" s="2"/>
      <c r="HA39" s="2">
        <v>0</v>
      </c>
      <c r="HB39" s="2">
        <v>0</v>
      </c>
      <c r="HC39" s="2">
        <f t="shared" si="65"/>
        <v>0</v>
      </c>
      <c r="HD39" s="2"/>
      <c r="HE39" s="2" t="s">
        <v>6</v>
      </c>
      <c r="HF39" s="2" t="s">
        <v>6</v>
      </c>
      <c r="HG39" s="2"/>
      <c r="HH39" s="2"/>
      <c r="HI39" s="2"/>
      <c r="HJ39" s="2"/>
      <c r="HK39" s="2"/>
      <c r="HL39" s="2"/>
      <c r="HM39" s="2" t="s">
        <v>6</v>
      </c>
      <c r="HN39" s="2" t="s">
        <v>6</v>
      </c>
      <c r="HO39" s="2" t="s">
        <v>6</v>
      </c>
      <c r="HP39" s="2" t="s">
        <v>6</v>
      </c>
      <c r="HQ39" s="2" t="s">
        <v>6</v>
      </c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>
        <v>0</v>
      </c>
      <c r="IL39" s="2"/>
      <c r="IM39" s="2"/>
      <c r="IN39" s="2"/>
      <c r="IO39" s="2"/>
      <c r="IP39" s="2"/>
      <c r="IQ39" s="2"/>
      <c r="IR39" s="2"/>
      <c r="IS39" s="2"/>
      <c r="IT39" s="2"/>
      <c r="IU39" s="2"/>
    </row>
    <row r="40" spans="1:255">
      <c r="A40">
        <v>18</v>
      </c>
      <c r="B40">
        <v>1</v>
      </c>
      <c r="E40" t="s">
        <v>41</v>
      </c>
      <c r="F40" t="s">
        <v>33</v>
      </c>
      <c r="G40" t="s">
        <v>34</v>
      </c>
      <c r="H40" t="s">
        <v>35</v>
      </c>
      <c r="I40">
        <f>I38*J40</f>
        <v>30</v>
      </c>
      <c r="J40">
        <v>15</v>
      </c>
      <c r="K40">
        <v>15</v>
      </c>
      <c r="O40">
        <f t="shared" si="28"/>
        <v>34404.61</v>
      </c>
      <c r="P40">
        <f t="shared" si="29"/>
        <v>34404.61</v>
      </c>
      <c r="Q40">
        <f t="shared" si="30"/>
        <v>0</v>
      </c>
      <c r="R40">
        <f t="shared" si="31"/>
        <v>0</v>
      </c>
      <c r="S40">
        <f t="shared" si="32"/>
        <v>0</v>
      </c>
      <c r="T40">
        <f t="shared" si="33"/>
        <v>0</v>
      </c>
      <c r="U40">
        <f t="shared" si="34"/>
        <v>0</v>
      </c>
      <c r="V40">
        <f t="shared" si="35"/>
        <v>0</v>
      </c>
      <c r="W40">
        <f t="shared" si="36"/>
        <v>0</v>
      </c>
      <c r="X40">
        <f t="shared" si="37"/>
        <v>0</v>
      </c>
      <c r="Y40">
        <f t="shared" si="38"/>
        <v>0</v>
      </c>
      <c r="AA40">
        <v>70322059</v>
      </c>
      <c r="AB40">
        <f t="shared" si="39"/>
        <v>146.84</v>
      </c>
      <c r="AC40">
        <f t="shared" si="40"/>
        <v>146.84</v>
      </c>
      <c r="AD40">
        <f t="shared" si="41"/>
        <v>0</v>
      </c>
      <c r="AE40">
        <f t="shared" si="42"/>
        <v>0</v>
      </c>
      <c r="AF40">
        <f t="shared" si="43"/>
        <v>0</v>
      </c>
      <c r="AG40">
        <f t="shared" si="44"/>
        <v>0</v>
      </c>
      <c r="AH40">
        <f t="shared" si="45"/>
        <v>0</v>
      </c>
      <c r="AI40">
        <f t="shared" si="46"/>
        <v>0</v>
      </c>
      <c r="AJ40">
        <f t="shared" si="47"/>
        <v>0</v>
      </c>
      <c r="AK40">
        <v>146.84</v>
      </c>
      <c r="AL40">
        <v>146.84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7.81</v>
      </c>
      <c r="BD40" t="s">
        <v>6</v>
      </c>
      <c r="BE40" t="s">
        <v>6</v>
      </c>
      <c r="BF40" t="s">
        <v>6</v>
      </c>
      <c r="BG40" t="s">
        <v>6</v>
      </c>
      <c r="BH40">
        <v>3</v>
      </c>
      <c r="BI40">
        <v>1</v>
      </c>
      <c r="BJ40" t="s">
        <v>36</v>
      </c>
      <c r="BM40">
        <v>295</v>
      </c>
      <c r="BN40">
        <v>0</v>
      </c>
      <c r="BO40" t="s">
        <v>33</v>
      </c>
      <c r="BP40">
        <v>1</v>
      </c>
      <c r="BQ40">
        <v>30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6</v>
      </c>
      <c r="BZ40">
        <v>0</v>
      </c>
      <c r="CA40">
        <v>0</v>
      </c>
      <c r="CB40" t="s">
        <v>6</v>
      </c>
      <c r="CE40">
        <v>30</v>
      </c>
      <c r="CF40">
        <v>0</v>
      </c>
      <c r="CG40">
        <v>0</v>
      </c>
      <c r="CM40">
        <v>0</v>
      </c>
      <c r="CN40" t="s">
        <v>6</v>
      </c>
      <c r="CO40">
        <v>0</v>
      </c>
      <c r="CP40">
        <f t="shared" si="48"/>
        <v>34404.61</v>
      </c>
      <c r="CQ40">
        <f t="shared" si="49"/>
        <v>1146.82</v>
      </c>
      <c r="CR40">
        <f t="shared" si="50"/>
        <v>0</v>
      </c>
      <c r="CS40">
        <f t="shared" si="51"/>
        <v>0</v>
      </c>
      <c r="CT40">
        <f t="shared" si="52"/>
        <v>0</v>
      </c>
      <c r="CU40">
        <f t="shared" si="53"/>
        <v>0</v>
      </c>
      <c r="CV40">
        <f t="shared" si="54"/>
        <v>0</v>
      </c>
      <c r="CW40">
        <f t="shared" si="55"/>
        <v>0</v>
      </c>
      <c r="CX40">
        <f t="shared" si="56"/>
        <v>0</v>
      </c>
      <c r="CY40">
        <f>S40*(BZ40/100)</f>
        <v>0</v>
      </c>
      <c r="CZ40">
        <f>S40*(CA40/100)</f>
        <v>0</v>
      </c>
      <c r="DC40" t="s">
        <v>6</v>
      </c>
      <c r="DD40" t="s">
        <v>6</v>
      </c>
      <c r="DE40" t="s">
        <v>6</v>
      </c>
      <c r="DF40" t="s">
        <v>6</v>
      </c>
      <c r="DG40" t="s">
        <v>6</v>
      </c>
      <c r="DH40" t="s">
        <v>6</v>
      </c>
      <c r="DI40" t="s">
        <v>6</v>
      </c>
      <c r="DJ40" t="s">
        <v>6</v>
      </c>
      <c r="DK40" t="s">
        <v>6</v>
      </c>
      <c r="DL40" t="s">
        <v>6</v>
      </c>
      <c r="DM40" t="s">
        <v>6</v>
      </c>
      <c r="DN40">
        <v>187</v>
      </c>
      <c r="DO40">
        <v>101</v>
      </c>
      <c r="DP40">
        <v>1</v>
      </c>
      <c r="DQ40">
        <v>1</v>
      </c>
      <c r="DU40">
        <v>1007</v>
      </c>
      <c r="DV40" t="s">
        <v>35</v>
      </c>
      <c r="DW40" t="s">
        <v>35</v>
      </c>
      <c r="DX40">
        <v>1</v>
      </c>
      <c r="DZ40" t="s">
        <v>6</v>
      </c>
      <c r="EA40" t="s">
        <v>6</v>
      </c>
      <c r="EB40" t="s">
        <v>6</v>
      </c>
      <c r="EC40" t="s">
        <v>6</v>
      </c>
      <c r="EE40">
        <v>69252920</v>
      </c>
      <c r="EF40">
        <v>30</v>
      </c>
      <c r="EG40" t="s">
        <v>29</v>
      </c>
      <c r="EH40">
        <v>0</v>
      </c>
      <c r="EI40" t="s">
        <v>6</v>
      </c>
      <c r="EJ40">
        <v>1</v>
      </c>
      <c r="EK40">
        <v>295</v>
      </c>
      <c r="EL40" t="s">
        <v>30</v>
      </c>
      <c r="EM40" t="s">
        <v>31</v>
      </c>
      <c r="EO40" t="s">
        <v>6</v>
      </c>
      <c r="EQ40">
        <v>0</v>
      </c>
      <c r="ER40">
        <v>146.84</v>
      </c>
      <c r="ES40">
        <v>146.84</v>
      </c>
      <c r="ET40">
        <v>0</v>
      </c>
      <c r="EU40">
        <v>0</v>
      </c>
      <c r="EV40">
        <v>0</v>
      </c>
      <c r="EW40">
        <v>0</v>
      </c>
      <c r="EX40">
        <v>0</v>
      </c>
      <c r="FQ40">
        <v>0</v>
      </c>
      <c r="FR40">
        <f t="shared" si="57"/>
        <v>0</v>
      </c>
      <c r="FS40">
        <v>0</v>
      </c>
      <c r="FX40">
        <v>187</v>
      </c>
      <c r="FY40">
        <v>101</v>
      </c>
      <c r="GA40" t="s">
        <v>6</v>
      </c>
      <c r="GD40">
        <v>0</v>
      </c>
      <c r="GF40">
        <v>331308664</v>
      </c>
      <c r="GG40">
        <v>2</v>
      </c>
      <c r="GH40">
        <v>1</v>
      </c>
      <c r="GI40">
        <v>2</v>
      </c>
      <c r="GJ40">
        <v>0</v>
      </c>
      <c r="GK40">
        <f>ROUND(R40*(S12)/100,2)</f>
        <v>0</v>
      </c>
      <c r="GL40">
        <f t="shared" si="58"/>
        <v>0</v>
      </c>
      <c r="GM40">
        <f t="shared" si="59"/>
        <v>34404.61</v>
      </c>
      <c r="GN40">
        <f t="shared" si="60"/>
        <v>34404.61</v>
      </c>
      <c r="GO40">
        <f t="shared" si="61"/>
        <v>0</v>
      </c>
      <c r="GP40">
        <f t="shared" si="62"/>
        <v>0</v>
      </c>
      <c r="GR40">
        <v>0</v>
      </c>
      <c r="GS40">
        <v>0</v>
      </c>
      <c r="GT40">
        <v>0</v>
      </c>
      <c r="GU40" t="s">
        <v>6</v>
      </c>
      <c r="GV40">
        <f t="shared" si="63"/>
        <v>0</v>
      </c>
      <c r="GW40">
        <v>1</v>
      </c>
      <c r="GX40">
        <f t="shared" si="64"/>
        <v>0</v>
      </c>
      <c r="HA40">
        <v>0</v>
      </c>
      <c r="HB40">
        <v>0</v>
      </c>
      <c r="HC40">
        <f t="shared" si="65"/>
        <v>0</v>
      </c>
      <c r="HE40" t="s">
        <v>6</v>
      </c>
      <c r="HF40" t="s">
        <v>6</v>
      </c>
      <c r="HM40" t="s">
        <v>6</v>
      </c>
      <c r="HN40" t="s">
        <v>6</v>
      </c>
      <c r="HO40" t="s">
        <v>6</v>
      </c>
      <c r="HP40" t="s">
        <v>6</v>
      </c>
      <c r="HQ40" t="s">
        <v>6</v>
      </c>
      <c r="IK40">
        <v>0</v>
      </c>
    </row>
    <row r="41" spans="1:255">
      <c r="A41" s="2">
        <v>17</v>
      </c>
      <c r="B41" s="2">
        <v>1</v>
      </c>
      <c r="C41" s="2"/>
      <c r="D41" s="2"/>
      <c r="E41" s="2" t="s">
        <v>42</v>
      </c>
      <c r="F41" s="2" t="s">
        <v>43</v>
      </c>
      <c r="G41" s="2" t="s">
        <v>44</v>
      </c>
      <c r="H41" s="2" t="s">
        <v>27</v>
      </c>
      <c r="I41" s="2">
        <f>ROUND(I33+I37,9)</f>
        <v>8</v>
      </c>
      <c r="J41" s="2">
        <v>0</v>
      </c>
      <c r="K41" s="2">
        <f>ROUND(I33+I37,9)</f>
        <v>8</v>
      </c>
      <c r="L41" s="2"/>
      <c r="M41" s="2"/>
      <c r="N41" s="2"/>
      <c r="O41" s="2">
        <f t="shared" si="28"/>
        <v>455.52</v>
      </c>
      <c r="P41" s="2">
        <f t="shared" si="29"/>
        <v>0</v>
      </c>
      <c r="Q41" s="2">
        <f t="shared" si="30"/>
        <v>0</v>
      </c>
      <c r="R41" s="2">
        <f t="shared" si="31"/>
        <v>0</v>
      </c>
      <c r="S41" s="2">
        <f t="shared" si="32"/>
        <v>455.52</v>
      </c>
      <c r="T41" s="2">
        <f t="shared" si="33"/>
        <v>0</v>
      </c>
      <c r="U41" s="2">
        <f t="shared" si="34"/>
        <v>43.76</v>
      </c>
      <c r="V41" s="2">
        <f t="shared" si="35"/>
        <v>0</v>
      </c>
      <c r="W41" s="2">
        <f t="shared" si="36"/>
        <v>0</v>
      </c>
      <c r="X41" s="2">
        <f t="shared" si="37"/>
        <v>851.82</v>
      </c>
      <c r="Y41" s="2">
        <f t="shared" si="38"/>
        <v>460.08</v>
      </c>
      <c r="Z41" s="2"/>
      <c r="AA41" s="2">
        <v>70322058</v>
      </c>
      <c r="AB41" s="2">
        <f t="shared" si="39"/>
        <v>56.94</v>
      </c>
      <c r="AC41" s="2">
        <f t="shared" si="40"/>
        <v>0</v>
      </c>
      <c r="AD41" s="2">
        <f t="shared" si="41"/>
        <v>0</v>
      </c>
      <c r="AE41" s="2">
        <f t="shared" si="42"/>
        <v>0</v>
      </c>
      <c r="AF41" s="2">
        <f t="shared" si="43"/>
        <v>56.94</v>
      </c>
      <c r="AG41" s="2">
        <f t="shared" si="44"/>
        <v>0</v>
      </c>
      <c r="AH41" s="2">
        <f t="shared" si="45"/>
        <v>5.47</v>
      </c>
      <c r="AI41" s="2">
        <f t="shared" si="46"/>
        <v>0</v>
      </c>
      <c r="AJ41" s="2">
        <f t="shared" si="47"/>
        <v>0</v>
      </c>
      <c r="AK41" s="2">
        <v>56.94</v>
      </c>
      <c r="AL41" s="2">
        <v>0</v>
      </c>
      <c r="AM41" s="2">
        <v>0</v>
      </c>
      <c r="AN41" s="2">
        <v>0</v>
      </c>
      <c r="AO41" s="2">
        <v>56.94</v>
      </c>
      <c r="AP41" s="2">
        <v>0</v>
      </c>
      <c r="AQ41" s="2">
        <v>5.47</v>
      </c>
      <c r="AR41" s="2">
        <v>0</v>
      </c>
      <c r="AS41" s="2">
        <v>0</v>
      </c>
      <c r="AT41" s="2">
        <v>187</v>
      </c>
      <c r="AU41" s="2">
        <v>101</v>
      </c>
      <c r="AV41" s="2">
        <v>1</v>
      </c>
      <c r="AW41" s="2">
        <v>1</v>
      </c>
      <c r="AX41" s="2"/>
      <c r="AY41" s="2"/>
      <c r="AZ41" s="2">
        <v>1</v>
      </c>
      <c r="BA41" s="2">
        <v>1</v>
      </c>
      <c r="BB41" s="2">
        <v>1</v>
      </c>
      <c r="BC41" s="2">
        <v>1</v>
      </c>
      <c r="BD41" s="2" t="s">
        <v>6</v>
      </c>
      <c r="BE41" s="2" t="s">
        <v>6</v>
      </c>
      <c r="BF41" s="2" t="s">
        <v>6</v>
      </c>
      <c r="BG41" s="2" t="s">
        <v>6</v>
      </c>
      <c r="BH41" s="2">
        <v>0</v>
      </c>
      <c r="BI41" s="2">
        <v>1</v>
      </c>
      <c r="BJ41" s="2" t="s">
        <v>45</v>
      </c>
      <c r="BK41" s="2"/>
      <c r="BL41" s="2"/>
      <c r="BM41" s="2">
        <v>295</v>
      </c>
      <c r="BN41" s="2">
        <v>0</v>
      </c>
      <c r="BO41" s="2" t="s">
        <v>6</v>
      </c>
      <c r="BP41" s="2">
        <v>0</v>
      </c>
      <c r="BQ41" s="2">
        <v>30</v>
      </c>
      <c r="BR41" s="2">
        <v>0</v>
      </c>
      <c r="BS41" s="2">
        <v>1</v>
      </c>
      <c r="BT41" s="2">
        <v>1</v>
      </c>
      <c r="BU41" s="2">
        <v>1</v>
      </c>
      <c r="BV41" s="2">
        <v>1</v>
      </c>
      <c r="BW41" s="2">
        <v>1</v>
      </c>
      <c r="BX41" s="2">
        <v>1</v>
      </c>
      <c r="BY41" s="2" t="s">
        <v>6</v>
      </c>
      <c r="BZ41" s="2">
        <v>187</v>
      </c>
      <c r="CA41" s="2">
        <v>101</v>
      </c>
      <c r="CB41" s="2" t="s">
        <v>6</v>
      </c>
      <c r="CC41" s="2"/>
      <c r="CD41" s="2"/>
      <c r="CE41" s="2">
        <v>30</v>
      </c>
      <c r="CF41" s="2">
        <v>0</v>
      </c>
      <c r="CG41" s="2">
        <v>0</v>
      </c>
      <c r="CH41" s="2"/>
      <c r="CI41" s="2"/>
      <c r="CJ41" s="2"/>
      <c r="CK41" s="2"/>
      <c r="CL41" s="2"/>
      <c r="CM41" s="2">
        <v>0</v>
      </c>
      <c r="CN41" s="2" t="s">
        <v>6</v>
      </c>
      <c r="CO41" s="2">
        <v>0</v>
      </c>
      <c r="CP41" s="2">
        <f t="shared" si="48"/>
        <v>455.52</v>
      </c>
      <c r="CQ41" s="2">
        <f t="shared" si="49"/>
        <v>0</v>
      </c>
      <c r="CR41" s="2">
        <f t="shared" si="50"/>
        <v>0</v>
      </c>
      <c r="CS41" s="2">
        <f t="shared" si="51"/>
        <v>0</v>
      </c>
      <c r="CT41" s="2">
        <f t="shared" si="52"/>
        <v>56.94</v>
      </c>
      <c r="CU41" s="2">
        <f t="shared" si="53"/>
        <v>0</v>
      </c>
      <c r="CV41" s="2">
        <f t="shared" si="54"/>
        <v>5.47</v>
      </c>
      <c r="CW41" s="2">
        <f t="shared" si="55"/>
        <v>0</v>
      </c>
      <c r="CX41" s="2">
        <f t="shared" si="56"/>
        <v>0</v>
      </c>
      <c r="CY41" s="2">
        <f>((S41*BZ41)/100)</f>
        <v>851.8223999999999</v>
      </c>
      <c r="CZ41" s="2">
        <f>((S41*CA41)/100)</f>
        <v>460.0752</v>
      </c>
      <c r="DA41" s="2"/>
      <c r="DB41" s="2"/>
      <c r="DC41" s="2" t="s">
        <v>6</v>
      </c>
      <c r="DD41" s="2" t="s">
        <v>6</v>
      </c>
      <c r="DE41" s="2" t="s">
        <v>6</v>
      </c>
      <c r="DF41" s="2" t="s">
        <v>6</v>
      </c>
      <c r="DG41" s="2" t="s">
        <v>6</v>
      </c>
      <c r="DH41" s="2" t="s">
        <v>6</v>
      </c>
      <c r="DI41" s="2" t="s">
        <v>6</v>
      </c>
      <c r="DJ41" s="2" t="s">
        <v>6</v>
      </c>
      <c r="DK41" s="2" t="s">
        <v>6</v>
      </c>
      <c r="DL41" s="2" t="s">
        <v>6</v>
      </c>
      <c r="DM41" s="2" t="s">
        <v>6</v>
      </c>
      <c r="DN41" s="2">
        <v>0</v>
      </c>
      <c r="DO41" s="2">
        <v>0</v>
      </c>
      <c r="DP41" s="2">
        <v>1</v>
      </c>
      <c r="DQ41" s="2">
        <v>1</v>
      </c>
      <c r="DR41" s="2"/>
      <c r="DS41" s="2"/>
      <c r="DT41" s="2"/>
      <c r="DU41" s="2">
        <v>1005</v>
      </c>
      <c r="DV41" s="2" t="s">
        <v>27</v>
      </c>
      <c r="DW41" s="2" t="s">
        <v>27</v>
      </c>
      <c r="DX41" s="2">
        <v>100</v>
      </c>
      <c r="DY41" s="2"/>
      <c r="DZ41" s="2" t="s">
        <v>6</v>
      </c>
      <c r="EA41" s="2" t="s">
        <v>6</v>
      </c>
      <c r="EB41" s="2" t="s">
        <v>6</v>
      </c>
      <c r="EC41" s="2" t="s">
        <v>6</v>
      </c>
      <c r="ED41" s="2"/>
      <c r="EE41" s="2">
        <v>69252920</v>
      </c>
      <c r="EF41" s="2">
        <v>30</v>
      </c>
      <c r="EG41" s="2" t="s">
        <v>29</v>
      </c>
      <c r="EH41" s="2">
        <v>0</v>
      </c>
      <c r="EI41" s="2" t="s">
        <v>6</v>
      </c>
      <c r="EJ41" s="2">
        <v>1</v>
      </c>
      <c r="EK41" s="2">
        <v>295</v>
      </c>
      <c r="EL41" s="2" t="s">
        <v>30</v>
      </c>
      <c r="EM41" s="2" t="s">
        <v>31</v>
      </c>
      <c r="EN41" s="2"/>
      <c r="EO41" s="2" t="s">
        <v>6</v>
      </c>
      <c r="EP41" s="2"/>
      <c r="EQ41" s="2">
        <v>0</v>
      </c>
      <c r="ER41" s="2">
        <v>56.94</v>
      </c>
      <c r="ES41" s="2">
        <v>0</v>
      </c>
      <c r="ET41" s="2">
        <v>0</v>
      </c>
      <c r="EU41" s="2">
        <v>0</v>
      </c>
      <c r="EV41" s="2">
        <v>56.94</v>
      </c>
      <c r="EW41" s="2">
        <v>5.47</v>
      </c>
      <c r="EX41" s="2">
        <v>0</v>
      </c>
      <c r="EY41" s="2">
        <v>0</v>
      </c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>
        <v>0</v>
      </c>
      <c r="FR41" s="2">
        <f t="shared" si="57"/>
        <v>0</v>
      </c>
      <c r="FS41" s="2">
        <v>0</v>
      </c>
      <c r="FT41" s="2"/>
      <c r="FU41" s="2"/>
      <c r="FV41" s="2"/>
      <c r="FW41" s="2"/>
      <c r="FX41" s="2">
        <v>187</v>
      </c>
      <c r="FY41" s="2">
        <v>101</v>
      </c>
      <c r="FZ41" s="2"/>
      <c r="GA41" s="2" t="s">
        <v>6</v>
      </c>
      <c r="GB41" s="2"/>
      <c r="GC41" s="2"/>
      <c r="GD41" s="2">
        <v>0</v>
      </c>
      <c r="GE41" s="2"/>
      <c r="GF41" s="2">
        <v>1039409196</v>
      </c>
      <c r="GG41" s="2">
        <v>2</v>
      </c>
      <c r="GH41" s="2">
        <v>1</v>
      </c>
      <c r="GI41" s="2">
        <v>-2</v>
      </c>
      <c r="GJ41" s="2">
        <v>0</v>
      </c>
      <c r="GK41" s="2">
        <f>ROUND(R41*(R12)/100,2)</f>
        <v>0</v>
      </c>
      <c r="GL41" s="2">
        <f t="shared" si="58"/>
        <v>0</v>
      </c>
      <c r="GM41" s="2">
        <f t="shared" si="59"/>
        <v>1767.42</v>
      </c>
      <c r="GN41" s="2">
        <f t="shared" si="60"/>
        <v>1767.42</v>
      </c>
      <c r="GO41" s="2">
        <f t="shared" si="61"/>
        <v>0</v>
      </c>
      <c r="GP41" s="2">
        <f t="shared" si="62"/>
        <v>0</v>
      </c>
      <c r="GQ41" s="2"/>
      <c r="GR41" s="2">
        <v>0</v>
      </c>
      <c r="GS41" s="2">
        <v>3</v>
      </c>
      <c r="GT41" s="2">
        <v>0</v>
      </c>
      <c r="GU41" s="2" t="s">
        <v>6</v>
      </c>
      <c r="GV41" s="2">
        <f t="shared" si="63"/>
        <v>0</v>
      </c>
      <c r="GW41" s="2">
        <v>1</v>
      </c>
      <c r="GX41" s="2">
        <f t="shared" si="64"/>
        <v>0</v>
      </c>
      <c r="GY41" s="2"/>
      <c r="GZ41" s="2"/>
      <c r="HA41" s="2">
        <v>0</v>
      </c>
      <c r="HB41" s="2">
        <v>0</v>
      </c>
      <c r="HC41" s="2">
        <f t="shared" si="65"/>
        <v>0</v>
      </c>
      <c r="HD41" s="2"/>
      <c r="HE41" s="2" t="s">
        <v>6</v>
      </c>
      <c r="HF41" s="2" t="s">
        <v>6</v>
      </c>
      <c r="HG41" s="2"/>
      <c r="HH41" s="2"/>
      <c r="HI41" s="2"/>
      <c r="HJ41" s="2"/>
      <c r="HK41" s="2"/>
      <c r="HL41" s="2"/>
      <c r="HM41" s="2" t="s">
        <v>6</v>
      </c>
      <c r="HN41" s="2" t="s">
        <v>6</v>
      </c>
      <c r="HO41" s="2" t="s">
        <v>6</v>
      </c>
      <c r="HP41" s="2" t="s">
        <v>6</v>
      </c>
      <c r="HQ41" s="2" t="s">
        <v>6</v>
      </c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>
        <v>0</v>
      </c>
      <c r="IL41" s="2"/>
      <c r="IM41" s="2"/>
      <c r="IN41" s="2"/>
      <c r="IO41" s="2"/>
      <c r="IP41" s="2"/>
      <c r="IQ41" s="2"/>
      <c r="IR41" s="2"/>
      <c r="IS41" s="2"/>
      <c r="IT41" s="2"/>
      <c r="IU41" s="2"/>
    </row>
    <row r="42" spans="1:255">
      <c r="A42">
        <v>17</v>
      </c>
      <c r="B42">
        <v>1</v>
      </c>
      <c r="E42" t="s">
        <v>42</v>
      </c>
      <c r="F42" t="s">
        <v>43</v>
      </c>
      <c r="G42" t="s">
        <v>44</v>
      </c>
      <c r="H42" t="s">
        <v>27</v>
      </c>
      <c r="I42">
        <f>ROUND(I34+I38,9)</f>
        <v>8</v>
      </c>
      <c r="J42">
        <v>0</v>
      </c>
      <c r="K42">
        <f>ROUND(I34+I38,9)</f>
        <v>8</v>
      </c>
      <c r="O42">
        <f t="shared" si="28"/>
        <v>21259.119999999999</v>
      </c>
      <c r="P42">
        <f t="shared" si="29"/>
        <v>0</v>
      </c>
      <c r="Q42">
        <f t="shared" si="30"/>
        <v>0</v>
      </c>
      <c r="R42">
        <f t="shared" si="31"/>
        <v>0</v>
      </c>
      <c r="S42">
        <f t="shared" si="32"/>
        <v>21259.119999999999</v>
      </c>
      <c r="T42">
        <f t="shared" si="33"/>
        <v>0</v>
      </c>
      <c r="U42">
        <f t="shared" si="34"/>
        <v>43.76</v>
      </c>
      <c r="V42">
        <f t="shared" si="35"/>
        <v>0</v>
      </c>
      <c r="W42">
        <f t="shared" si="36"/>
        <v>0</v>
      </c>
      <c r="X42">
        <f t="shared" si="37"/>
        <v>22322.080000000002</v>
      </c>
      <c r="Y42">
        <f t="shared" si="38"/>
        <v>10204.379999999999</v>
      </c>
      <c r="AA42">
        <v>70322059</v>
      </c>
      <c r="AB42">
        <f t="shared" si="39"/>
        <v>56.94</v>
      </c>
      <c r="AC42">
        <f t="shared" si="40"/>
        <v>0</v>
      </c>
      <c r="AD42">
        <f t="shared" si="41"/>
        <v>0</v>
      </c>
      <c r="AE42">
        <f t="shared" si="42"/>
        <v>0</v>
      </c>
      <c r="AF42">
        <f t="shared" si="43"/>
        <v>56.94</v>
      </c>
      <c r="AG42">
        <f t="shared" si="44"/>
        <v>0</v>
      </c>
      <c r="AH42">
        <f t="shared" si="45"/>
        <v>5.47</v>
      </c>
      <c r="AI42">
        <f t="shared" si="46"/>
        <v>0</v>
      </c>
      <c r="AJ42">
        <f t="shared" si="47"/>
        <v>0</v>
      </c>
      <c r="AK42">
        <v>56.94</v>
      </c>
      <c r="AL42">
        <v>0</v>
      </c>
      <c r="AM42">
        <v>0</v>
      </c>
      <c r="AN42">
        <v>0</v>
      </c>
      <c r="AO42">
        <v>56.94</v>
      </c>
      <c r="AP42">
        <v>0</v>
      </c>
      <c r="AQ42">
        <v>5.47</v>
      </c>
      <c r="AR42">
        <v>0</v>
      </c>
      <c r="AS42">
        <v>0</v>
      </c>
      <c r="AT42">
        <v>105</v>
      </c>
      <c r="AU42">
        <v>48</v>
      </c>
      <c r="AV42">
        <v>1</v>
      </c>
      <c r="AW42">
        <v>1</v>
      </c>
      <c r="AZ42">
        <v>1</v>
      </c>
      <c r="BA42">
        <v>46.67</v>
      </c>
      <c r="BB42">
        <v>1</v>
      </c>
      <c r="BC42">
        <v>1</v>
      </c>
      <c r="BD42" t="s">
        <v>6</v>
      </c>
      <c r="BE42" t="s">
        <v>6</v>
      </c>
      <c r="BF42" t="s">
        <v>6</v>
      </c>
      <c r="BG42" t="s">
        <v>6</v>
      </c>
      <c r="BH42">
        <v>0</v>
      </c>
      <c r="BI42">
        <v>1</v>
      </c>
      <c r="BJ42" t="s">
        <v>45</v>
      </c>
      <c r="BM42">
        <v>295</v>
      </c>
      <c r="BN42">
        <v>0</v>
      </c>
      <c r="BO42" t="s">
        <v>43</v>
      </c>
      <c r="BP42">
        <v>1</v>
      </c>
      <c r="BQ42">
        <v>30</v>
      </c>
      <c r="BR42">
        <v>0</v>
      </c>
      <c r="BS42">
        <v>46.67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6</v>
      </c>
      <c r="BZ42">
        <v>105</v>
      </c>
      <c r="CA42">
        <v>48</v>
      </c>
      <c r="CB42" t="s">
        <v>6</v>
      </c>
      <c r="CE42">
        <v>30</v>
      </c>
      <c r="CF42">
        <v>0</v>
      </c>
      <c r="CG42">
        <v>0</v>
      </c>
      <c r="CM42">
        <v>0</v>
      </c>
      <c r="CN42" t="s">
        <v>6</v>
      </c>
      <c r="CO42">
        <v>0</v>
      </c>
      <c r="CP42">
        <f t="shared" si="48"/>
        <v>21259.119999999999</v>
      </c>
      <c r="CQ42">
        <f t="shared" si="49"/>
        <v>0</v>
      </c>
      <c r="CR42">
        <f t="shared" si="50"/>
        <v>0</v>
      </c>
      <c r="CS42">
        <f t="shared" si="51"/>
        <v>0</v>
      </c>
      <c r="CT42">
        <f t="shared" si="52"/>
        <v>2657.39</v>
      </c>
      <c r="CU42">
        <f t="shared" si="53"/>
        <v>0</v>
      </c>
      <c r="CV42">
        <f t="shared" si="54"/>
        <v>5.47</v>
      </c>
      <c r="CW42">
        <f t="shared" si="55"/>
        <v>0</v>
      </c>
      <c r="CX42">
        <f t="shared" si="56"/>
        <v>0</v>
      </c>
      <c r="CY42">
        <f>S42*(BZ42/100)</f>
        <v>22322.076000000001</v>
      </c>
      <c r="CZ42">
        <f>S42*(CA42/100)</f>
        <v>10204.3776</v>
      </c>
      <c r="DC42" t="s">
        <v>6</v>
      </c>
      <c r="DD42" t="s">
        <v>6</v>
      </c>
      <c r="DE42" t="s">
        <v>6</v>
      </c>
      <c r="DF42" t="s">
        <v>6</v>
      </c>
      <c r="DG42" t="s">
        <v>6</v>
      </c>
      <c r="DH42" t="s">
        <v>6</v>
      </c>
      <c r="DI42" t="s">
        <v>6</v>
      </c>
      <c r="DJ42" t="s">
        <v>6</v>
      </c>
      <c r="DK42" t="s">
        <v>6</v>
      </c>
      <c r="DL42" t="s">
        <v>6</v>
      </c>
      <c r="DM42" t="s">
        <v>6</v>
      </c>
      <c r="DN42">
        <v>187</v>
      </c>
      <c r="DO42">
        <v>101</v>
      </c>
      <c r="DP42">
        <v>1</v>
      </c>
      <c r="DQ42">
        <v>1</v>
      </c>
      <c r="DU42">
        <v>1005</v>
      </c>
      <c r="DV42" t="s">
        <v>27</v>
      </c>
      <c r="DW42" t="s">
        <v>27</v>
      </c>
      <c r="DX42">
        <v>100</v>
      </c>
      <c r="DZ42" t="s">
        <v>6</v>
      </c>
      <c r="EA42" t="s">
        <v>6</v>
      </c>
      <c r="EB42" t="s">
        <v>6</v>
      </c>
      <c r="EC42" t="s">
        <v>6</v>
      </c>
      <c r="EE42">
        <v>69252920</v>
      </c>
      <c r="EF42">
        <v>30</v>
      </c>
      <c r="EG42" t="s">
        <v>29</v>
      </c>
      <c r="EH42">
        <v>0</v>
      </c>
      <c r="EI42" t="s">
        <v>6</v>
      </c>
      <c r="EJ42">
        <v>1</v>
      </c>
      <c r="EK42">
        <v>295</v>
      </c>
      <c r="EL42" t="s">
        <v>30</v>
      </c>
      <c r="EM42" t="s">
        <v>31</v>
      </c>
      <c r="EO42" t="s">
        <v>6</v>
      </c>
      <c r="EQ42">
        <v>0</v>
      </c>
      <c r="ER42">
        <v>56.94</v>
      </c>
      <c r="ES42">
        <v>0</v>
      </c>
      <c r="ET42">
        <v>0</v>
      </c>
      <c r="EU42">
        <v>0</v>
      </c>
      <c r="EV42">
        <v>56.94</v>
      </c>
      <c r="EW42">
        <v>5.47</v>
      </c>
      <c r="EX42">
        <v>0</v>
      </c>
      <c r="EY42">
        <v>0</v>
      </c>
      <c r="FQ42">
        <v>0</v>
      </c>
      <c r="FR42">
        <f t="shared" si="57"/>
        <v>0</v>
      </c>
      <c r="FS42">
        <v>0</v>
      </c>
      <c r="FX42">
        <v>187</v>
      </c>
      <c r="FY42">
        <v>101</v>
      </c>
      <c r="GA42" t="s">
        <v>6</v>
      </c>
      <c r="GD42">
        <v>0</v>
      </c>
      <c r="GF42">
        <v>1039409196</v>
      </c>
      <c r="GG42">
        <v>2</v>
      </c>
      <c r="GH42">
        <v>1</v>
      </c>
      <c r="GI42">
        <v>2</v>
      </c>
      <c r="GJ42">
        <v>0</v>
      </c>
      <c r="GK42">
        <f>ROUND(R42*(S12)/100,2)</f>
        <v>0</v>
      </c>
      <c r="GL42">
        <f t="shared" si="58"/>
        <v>0</v>
      </c>
      <c r="GM42">
        <f t="shared" si="59"/>
        <v>53785.58</v>
      </c>
      <c r="GN42">
        <f t="shared" si="60"/>
        <v>53785.58</v>
      </c>
      <c r="GO42">
        <f t="shared" si="61"/>
        <v>0</v>
      </c>
      <c r="GP42">
        <f t="shared" si="62"/>
        <v>0</v>
      </c>
      <c r="GR42">
        <v>0</v>
      </c>
      <c r="GS42">
        <v>0</v>
      </c>
      <c r="GT42">
        <v>0</v>
      </c>
      <c r="GU42" t="s">
        <v>6</v>
      </c>
      <c r="GV42">
        <f t="shared" si="63"/>
        <v>0</v>
      </c>
      <c r="GW42">
        <v>1</v>
      </c>
      <c r="GX42">
        <f t="shared" si="64"/>
        <v>0</v>
      </c>
      <c r="HA42">
        <v>0</v>
      </c>
      <c r="HB42">
        <v>0</v>
      </c>
      <c r="HC42">
        <f t="shared" si="65"/>
        <v>0</v>
      </c>
      <c r="HE42" t="s">
        <v>6</v>
      </c>
      <c r="HF42" t="s">
        <v>6</v>
      </c>
      <c r="HM42" t="s">
        <v>6</v>
      </c>
      <c r="HN42" t="s">
        <v>6</v>
      </c>
      <c r="HO42" t="s">
        <v>6</v>
      </c>
      <c r="HP42" t="s">
        <v>6</v>
      </c>
      <c r="HQ42" t="s">
        <v>6</v>
      </c>
      <c r="IK42">
        <v>0</v>
      </c>
    </row>
    <row r="43" spans="1:255">
      <c r="A43" s="2">
        <v>18</v>
      </c>
      <c r="B43" s="2">
        <v>1</v>
      </c>
      <c r="C43" s="2"/>
      <c r="D43" s="2"/>
      <c r="E43" s="2" t="s">
        <v>46</v>
      </c>
      <c r="F43" s="2" t="s">
        <v>33</v>
      </c>
      <c r="G43" s="2" t="s">
        <v>34</v>
      </c>
      <c r="H43" s="2" t="s">
        <v>35</v>
      </c>
      <c r="I43" s="2">
        <f>I41*J43</f>
        <v>40</v>
      </c>
      <c r="J43" s="2">
        <v>5</v>
      </c>
      <c r="K43" s="2">
        <v>5</v>
      </c>
      <c r="L43" s="2"/>
      <c r="M43" s="2"/>
      <c r="N43" s="2"/>
      <c r="O43" s="2">
        <f t="shared" si="28"/>
        <v>5873.6</v>
      </c>
      <c r="P43" s="2">
        <f t="shared" si="29"/>
        <v>5873.6</v>
      </c>
      <c r="Q43" s="2">
        <f t="shared" si="30"/>
        <v>0</v>
      </c>
      <c r="R43" s="2">
        <f t="shared" si="31"/>
        <v>0</v>
      </c>
      <c r="S43" s="2">
        <f t="shared" si="32"/>
        <v>0</v>
      </c>
      <c r="T43" s="2">
        <f t="shared" si="33"/>
        <v>0</v>
      </c>
      <c r="U43" s="2">
        <f t="shared" si="34"/>
        <v>0</v>
      </c>
      <c r="V43" s="2">
        <f t="shared" si="35"/>
        <v>0</v>
      </c>
      <c r="W43" s="2">
        <f t="shared" si="36"/>
        <v>0</v>
      </c>
      <c r="X43" s="2">
        <f t="shared" si="37"/>
        <v>0</v>
      </c>
      <c r="Y43" s="2">
        <f t="shared" si="38"/>
        <v>0</v>
      </c>
      <c r="Z43" s="2"/>
      <c r="AA43" s="2">
        <v>70322058</v>
      </c>
      <c r="AB43" s="2">
        <f t="shared" si="39"/>
        <v>146.84</v>
      </c>
      <c r="AC43" s="2">
        <f t="shared" si="40"/>
        <v>146.84</v>
      </c>
      <c r="AD43" s="2">
        <f t="shared" si="41"/>
        <v>0</v>
      </c>
      <c r="AE43" s="2">
        <f t="shared" si="42"/>
        <v>0</v>
      </c>
      <c r="AF43" s="2">
        <f t="shared" si="43"/>
        <v>0</v>
      </c>
      <c r="AG43" s="2">
        <f t="shared" si="44"/>
        <v>0</v>
      </c>
      <c r="AH43" s="2">
        <f t="shared" si="45"/>
        <v>0</v>
      </c>
      <c r="AI43" s="2">
        <f t="shared" si="46"/>
        <v>0</v>
      </c>
      <c r="AJ43" s="2">
        <f t="shared" si="47"/>
        <v>0</v>
      </c>
      <c r="AK43" s="2">
        <v>146.84</v>
      </c>
      <c r="AL43" s="2">
        <v>146.84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187</v>
      </c>
      <c r="AU43" s="2">
        <v>101</v>
      </c>
      <c r="AV43" s="2">
        <v>1</v>
      </c>
      <c r="AW43" s="2">
        <v>1</v>
      </c>
      <c r="AX43" s="2"/>
      <c r="AY43" s="2"/>
      <c r="AZ43" s="2">
        <v>1</v>
      </c>
      <c r="BA43" s="2">
        <v>1</v>
      </c>
      <c r="BB43" s="2">
        <v>1</v>
      </c>
      <c r="BC43" s="2">
        <v>1</v>
      </c>
      <c r="BD43" s="2" t="s">
        <v>6</v>
      </c>
      <c r="BE43" s="2" t="s">
        <v>6</v>
      </c>
      <c r="BF43" s="2" t="s">
        <v>6</v>
      </c>
      <c r="BG43" s="2" t="s">
        <v>6</v>
      </c>
      <c r="BH43" s="2">
        <v>3</v>
      </c>
      <c r="BI43" s="2">
        <v>1</v>
      </c>
      <c r="BJ43" s="2" t="s">
        <v>36</v>
      </c>
      <c r="BK43" s="2"/>
      <c r="BL43" s="2"/>
      <c r="BM43" s="2">
        <v>295</v>
      </c>
      <c r="BN43" s="2">
        <v>0</v>
      </c>
      <c r="BO43" s="2" t="s">
        <v>6</v>
      </c>
      <c r="BP43" s="2">
        <v>0</v>
      </c>
      <c r="BQ43" s="2">
        <v>30</v>
      </c>
      <c r="BR43" s="2">
        <v>0</v>
      </c>
      <c r="BS43" s="2">
        <v>1</v>
      </c>
      <c r="BT43" s="2">
        <v>1</v>
      </c>
      <c r="BU43" s="2">
        <v>1</v>
      </c>
      <c r="BV43" s="2">
        <v>1</v>
      </c>
      <c r="BW43" s="2">
        <v>1</v>
      </c>
      <c r="BX43" s="2">
        <v>1</v>
      </c>
      <c r="BY43" s="2" t="s">
        <v>6</v>
      </c>
      <c r="BZ43" s="2">
        <v>187</v>
      </c>
      <c r="CA43" s="2">
        <v>101</v>
      </c>
      <c r="CB43" s="2" t="s">
        <v>6</v>
      </c>
      <c r="CC43" s="2"/>
      <c r="CD43" s="2"/>
      <c r="CE43" s="2">
        <v>30</v>
      </c>
      <c r="CF43" s="2">
        <v>0</v>
      </c>
      <c r="CG43" s="2">
        <v>0</v>
      </c>
      <c r="CH43" s="2"/>
      <c r="CI43" s="2"/>
      <c r="CJ43" s="2"/>
      <c r="CK43" s="2"/>
      <c r="CL43" s="2"/>
      <c r="CM43" s="2">
        <v>0</v>
      </c>
      <c r="CN43" s="2" t="s">
        <v>6</v>
      </c>
      <c r="CO43" s="2">
        <v>0</v>
      </c>
      <c r="CP43" s="2">
        <f t="shared" si="48"/>
        <v>5873.6</v>
      </c>
      <c r="CQ43" s="2">
        <f t="shared" si="49"/>
        <v>146.84</v>
      </c>
      <c r="CR43" s="2">
        <f t="shared" si="50"/>
        <v>0</v>
      </c>
      <c r="CS43" s="2">
        <f t="shared" si="51"/>
        <v>0</v>
      </c>
      <c r="CT43" s="2">
        <f t="shared" si="52"/>
        <v>0</v>
      </c>
      <c r="CU43" s="2">
        <f t="shared" si="53"/>
        <v>0</v>
      </c>
      <c r="CV43" s="2">
        <f t="shared" si="54"/>
        <v>0</v>
      </c>
      <c r="CW43" s="2">
        <f t="shared" si="55"/>
        <v>0</v>
      </c>
      <c r="CX43" s="2">
        <f t="shared" si="56"/>
        <v>0</v>
      </c>
      <c r="CY43" s="2">
        <f>((S43*BZ43)/100)</f>
        <v>0</v>
      </c>
      <c r="CZ43" s="2">
        <f>((S43*CA43)/100)</f>
        <v>0</v>
      </c>
      <c r="DA43" s="2"/>
      <c r="DB43" s="2"/>
      <c r="DC43" s="2" t="s">
        <v>6</v>
      </c>
      <c r="DD43" s="2" t="s">
        <v>6</v>
      </c>
      <c r="DE43" s="2" t="s">
        <v>6</v>
      </c>
      <c r="DF43" s="2" t="s">
        <v>6</v>
      </c>
      <c r="DG43" s="2" t="s">
        <v>6</v>
      </c>
      <c r="DH43" s="2" t="s">
        <v>6</v>
      </c>
      <c r="DI43" s="2" t="s">
        <v>6</v>
      </c>
      <c r="DJ43" s="2" t="s">
        <v>6</v>
      </c>
      <c r="DK43" s="2" t="s">
        <v>6</v>
      </c>
      <c r="DL43" s="2" t="s">
        <v>6</v>
      </c>
      <c r="DM43" s="2" t="s">
        <v>6</v>
      </c>
      <c r="DN43" s="2">
        <v>0</v>
      </c>
      <c r="DO43" s="2">
        <v>0</v>
      </c>
      <c r="DP43" s="2">
        <v>1</v>
      </c>
      <c r="DQ43" s="2">
        <v>1</v>
      </c>
      <c r="DR43" s="2"/>
      <c r="DS43" s="2"/>
      <c r="DT43" s="2"/>
      <c r="DU43" s="2">
        <v>1007</v>
      </c>
      <c r="DV43" s="2" t="s">
        <v>35</v>
      </c>
      <c r="DW43" s="2" t="s">
        <v>35</v>
      </c>
      <c r="DX43" s="2">
        <v>1</v>
      </c>
      <c r="DY43" s="2"/>
      <c r="DZ43" s="2" t="s">
        <v>6</v>
      </c>
      <c r="EA43" s="2" t="s">
        <v>6</v>
      </c>
      <c r="EB43" s="2" t="s">
        <v>6</v>
      </c>
      <c r="EC43" s="2" t="s">
        <v>6</v>
      </c>
      <c r="ED43" s="2"/>
      <c r="EE43" s="2">
        <v>69252920</v>
      </c>
      <c r="EF43" s="2">
        <v>30</v>
      </c>
      <c r="EG43" s="2" t="s">
        <v>29</v>
      </c>
      <c r="EH43" s="2">
        <v>0</v>
      </c>
      <c r="EI43" s="2" t="s">
        <v>6</v>
      </c>
      <c r="EJ43" s="2">
        <v>1</v>
      </c>
      <c r="EK43" s="2">
        <v>295</v>
      </c>
      <c r="EL43" s="2" t="s">
        <v>30</v>
      </c>
      <c r="EM43" s="2" t="s">
        <v>31</v>
      </c>
      <c r="EN43" s="2"/>
      <c r="EO43" s="2" t="s">
        <v>6</v>
      </c>
      <c r="EP43" s="2"/>
      <c r="EQ43" s="2">
        <v>0</v>
      </c>
      <c r="ER43" s="2">
        <v>146.84</v>
      </c>
      <c r="ES43" s="2">
        <v>146.84</v>
      </c>
      <c r="ET43" s="2">
        <v>0</v>
      </c>
      <c r="EU43" s="2">
        <v>0</v>
      </c>
      <c r="EV43" s="2">
        <v>0</v>
      </c>
      <c r="EW43" s="2">
        <v>0</v>
      </c>
      <c r="EX43" s="2">
        <v>0</v>
      </c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>
        <v>0</v>
      </c>
      <c r="FR43" s="2">
        <f t="shared" si="57"/>
        <v>0</v>
      </c>
      <c r="FS43" s="2">
        <v>0</v>
      </c>
      <c r="FT43" s="2"/>
      <c r="FU43" s="2"/>
      <c r="FV43" s="2"/>
      <c r="FW43" s="2"/>
      <c r="FX43" s="2">
        <v>187</v>
      </c>
      <c r="FY43" s="2">
        <v>101</v>
      </c>
      <c r="FZ43" s="2"/>
      <c r="GA43" s="2" t="s">
        <v>6</v>
      </c>
      <c r="GB43" s="2"/>
      <c r="GC43" s="2"/>
      <c r="GD43" s="2">
        <v>0</v>
      </c>
      <c r="GE43" s="2"/>
      <c r="GF43" s="2">
        <v>331308664</v>
      </c>
      <c r="GG43" s="2">
        <v>2</v>
      </c>
      <c r="GH43" s="2">
        <v>1</v>
      </c>
      <c r="GI43" s="2">
        <v>-2</v>
      </c>
      <c r="GJ43" s="2">
        <v>0</v>
      </c>
      <c r="GK43" s="2">
        <f>ROUND(R43*(R12)/100,2)</f>
        <v>0</v>
      </c>
      <c r="GL43" s="2">
        <f t="shared" si="58"/>
        <v>0</v>
      </c>
      <c r="GM43" s="2">
        <f t="shared" si="59"/>
        <v>5873.6</v>
      </c>
      <c r="GN43" s="2">
        <f t="shared" si="60"/>
        <v>5873.6</v>
      </c>
      <c r="GO43" s="2">
        <f t="shared" si="61"/>
        <v>0</v>
      </c>
      <c r="GP43" s="2">
        <f t="shared" si="62"/>
        <v>0</v>
      </c>
      <c r="GQ43" s="2"/>
      <c r="GR43" s="2">
        <v>0</v>
      </c>
      <c r="GS43" s="2">
        <v>3</v>
      </c>
      <c r="GT43" s="2">
        <v>0</v>
      </c>
      <c r="GU43" s="2" t="s">
        <v>6</v>
      </c>
      <c r="GV43" s="2">
        <f t="shared" si="63"/>
        <v>0</v>
      </c>
      <c r="GW43" s="2">
        <v>1</v>
      </c>
      <c r="GX43" s="2">
        <f t="shared" si="64"/>
        <v>0</v>
      </c>
      <c r="GY43" s="2"/>
      <c r="GZ43" s="2"/>
      <c r="HA43" s="2">
        <v>0</v>
      </c>
      <c r="HB43" s="2">
        <v>0</v>
      </c>
      <c r="HC43" s="2">
        <f t="shared" si="65"/>
        <v>0</v>
      </c>
      <c r="HD43" s="2"/>
      <c r="HE43" s="2" t="s">
        <v>6</v>
      </c>
      <c r="HF43" s="2" t="s">
        <v>6</v>
      </c>
      <c r="HG43" s="2"/>
      <c r="HH43" s="2"/>
      <c r="HI43" s="2"/>
      <c r="HJ43" s="2"/>
      <c r="HK43" s="2"/>
      <c r="HL43" s="2"/>
      <c r="HM43" s="2" t="s">
        <v>6</v>
      </c>
      <c r="HN43" s="2" t="s">
        <v>6</v>
      </c>
      <c r="HO43" s="2" t="s">
        <v>6</v>
      </c>
      <c r="HP43" s="2" t="s">
        <v>6</v>
      </c>
      <c r="HQ43" s="2" t="s">
        <v>6</v>
      </c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>
        <v>0</v>
      </c>
      <c r="IL43" s="2"/>
      <c r="IM43" s="2"/>
      <c r="IN43" s="2"/>
      <c r="IO43" s="2"/>
      <c r="IP43" s="2"/>
      <c r="IQ43" s="2"/>
      <c r="IR43" s="2"/>
      <c r="IS43" s="2"/>
      <c r="IT43" s="2"/>
      <c r="IU43" s="2"/>
    </row>
    <row r="44" spans="1:255">
      <c r="A44">
        <v>18</v>
      </c>
      <c r="B44">
        <v>1</v>
      </c>
      <c r="E44" t="s">
        <v>46</v>
      </c>
      <c r="F44" t="s">
        <v>33</v>
      </c>
      <c r="G44" t="s">
        <v>34</v>
      </c>
      <c r="H44" t="s">
        <v>35</v>
      </c>
      <c r="I44">
        <f>I42*J44</f>
        <v>40</v>
      </c>
      <c r="J44">
        <v>5</v>
      </c>
      <c r="K44">
        <v>5</v>
      </c>
      <c r="O44">
        <f t="shared" si="28"/>
        <v>45872.82</v>
      </c>
      <c r="P44">
        <f t="shared" si="29"/>
        <v>45872.82</v>
      </c>
      <c r="Q44">
        <f t="shared" si="30"/>
        <v>0</v>
      </c>
      <c r="R44">
        <f t="shared" si="31"/>
        <v>0</v>
      </c>
      <c r="S44">
        <f t="shared" si="32"/>
        <v>0</v>
      </c>
      <c r="T44">
        <f t="shared" si="33"/>
        <v>0</v>
      </c>
      <c r="U44">
        <f t="shared" si="34"/>
        <v>0</v>
      </c>
      <c r="V44">
        <f t="shared" si="35"/>
        <v>0</v>
      </c>
      <c r="W44">
        <f t="shared" si="36"/>
        <v>0</v>
      </c>
      <c r="X44">
        <f t="shared" si="37"/>
        <v>0</v>
      </c>
      <c r="Y44">
        <f t="shared" si="38"/>
        <v>0</v>
      </c>
      <c r="AA44">
        <v>70322059</v>
      </c>
      <c r="AB44">
        <f t="shared" si="39"/>
        <v>146.84</v>
      </c>
      <c r="AC44">
        <f t="shared" si="40"/>
        <v>146.84</v>
      </c>
      <c r="AD44">
        <f t="shared" si="41"/>
        <v>0</v>
      </c>
      <c r="AE44">
        <f t="shared" si="42"/>
        <v>0</v>
      </c>
      <c r="AF44">
        <f t="shared" si="43"/>
        <v>0</v>
      </c>
      <c r="AG44">
        <f t="shared" si="44"/>
        <v>0</v>
      </c>
      <c r="AH44">
        <f t="shared" si="45"/>
        <v>0</v>
      </c>
      <c r="AI44">
        <f t="shared" si="46"/>
        <v>0</v>
      </c>
      <c r="AJ44">
        <f t="shared" si="47"/>
        <v>0</v>
      </c>
      <c r="AK44">
        <v>146.84</v>
      </c>
      <c r="AL44">
        <v>146.84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7.81</v>
      </c>
      <c r="BD44" t="s">
        <v>6</v>
      </c>
      <c r="BE44" t="s">
        <v>6</v>
      </c>
      <c r="BF44" t="s">
        <v>6</v>
      </c>
      <c r="BG44" t="s">
        <v>6</v>
      </c>
      <c r="BH44">
        <v>3</v>
      </c>
      <c r="BI44">
        <v>1</v>
      </c>
      <c r="BJ44" t="s">
        <v>36</v>
      </c>
      <c r="BM44">
        <v>295</v>
      </c>
      <c r="BN44">
        <v>0</v>
      </c>
      <c r="BO44" t="s">
        <v>33</v>
      </c>
      <c r="BP44">
        <v>1</v>
      </c>
      <c r="BQ44">
        <v>30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6</v>
      </c>
      <c r="BZ44">
        <v>0</v>
      </c>
      <c r="CA44">
        <v>0</v>
      </c>
      <c r="CB44" t="s">
        <v>6</v>
      </c>
      <c r="CE44">
        <v>30</v>
      </c>
      <c r="CF44">
        <v>0</v>
      </c>
      <c r="CG44">
        <v>0</v>
      </c>
      <c r="CM44">
        <v>0</v>
      </c>
      <c r="CN44" t="s">
        <v>6</v>
      </c>
      <c r="CO44">
        <v>0</v>
      </c>
      <c r="CP44">
        <f t="shared" si="48"/>
        <v>45872.82</v>
      </c>
      <c r="CQ44">
        <f t="shared" si="49"/>
        <v>1146.82</v>
      </c>
      <c r="CR44">
        <f t="shared" si="50"/>
        <v>0</v>
      </c>
      <c r="CS44">
        <f t="shared" si="51"/>
        <v>0</v>
      </c>
      <c r="CT44">
        <f t="shared" si="52"/>
        <v>0</v>
      </c>
      <c r="CU44">
        <f t="shared" si="53"/>
        <v>0</v>
      </c>
      <c r="CV44">
        <f t="shared" si="54"/>
        <v>0</v>
      </c>
      <c r="CW44">
        <f t="shared" si="55"/>
        <v>0</v>
      </c>
      <c r="CX44">
        <f t="shared" si="56"/>
        <v>0</v>
      </c>
      <c r="CY44">
        <f>S44*(BZ44/100)</f>
        <v>0</v>
      </c>
      <c r="CZ44">
        <f>S44*(CA44/100)</f>
        <v>0</v>
      </c>
      <c r="DC44" t="s">
        <v>6</v>
      </c>
      <c r="DD44" t="s">
        <v>6</v>
      </c>
      <c r="DE44" t="s">
        <v>6</v>
      </c>
      <c r="DF44" t="s">
        <v>6</v>
      </c>
      <c r="DG44" t="s">
        <v>6</v>
      </c>
      <c r="DH44" t="s">
        <v>6</v>
      </c>
      <c r="DI44" t="s">
        <v>6</v>
      </c>
      <c r="DJ44" t="s">
        <v>6</v>
      </c>
      <c r="DK44" t="s">
        <v>6</v>
      </c>
      <c r="DL44" t="s">
        <v>6</v>
      </c>
      <c r="DM44" t="s">
        <v>6</v>
      </c>
      <c r="DN44">
        <v>187</v>
      </c>
      <c r="DO44">
        <v>101</v>
      </c>
      <c r="DP44">
        <v>1</v>
      </c>
      <c r="DQ44">
        <v>1</v>
      </c>
      <c r="DU44">
        <v>1007</v>
      </c>
      <c r="DV44" t="s">
        <v>35</v>
      </c>
      <c r="DW44" t="s">
        <v>35</v>
      </c>
      <c r="DX44">
        <v>1</v>
      </c>
      <c r="DZ44" t="s">
        <v>6</v>
      </c>
      <c r="EA44" t="s">
        <v>6</v>
      </c>
      <c r="EB44" t="s">
        <v>6</v>
      </c>
      <c r="EC44" t="s">
        <v>6</v>
      </c>
      <c r="EE44">
        <v>69252920</v>
      </c>
      <c r="EF44">
        <v>30</v>
      </c>
      <c r="EG44" t="s">
        <v>29</v>
      </c>
      <c r="EH44">
        <v>0</v>
      </c>
      <c r="EI44" t="s">
        <v>6</v>
      </c>
      <c r="EJ44">
        <v>1</v>
      </c>
      <c r="EK44">
        <v>295</v>
      </c>
      <c r="EL44" t="s">
        <v>30</v>
      </c>
      <c r="EM44" t="s">
        <v>31</v>
      </c>
      <c r="EO44" t="s">
        <v>6</v>
      </c>
      <c r="EQ44">
        <v>0</v>
      </c>
      <c r="ER44">
        <v>146.84</v>
      </c>
      <c r="ES44">
        <v>146.84</v>
      </c>
      <c r="ET44">
        <v>0</v>
      </c>
      <c r="EU44">
        <v>0</v>
      </c>
      <c r="EV44">
        <v>0</v>
      </c>
      <c r="EW44">
        <v>0</v>
      </c>
      <c r="EX44">
        <v>0</v>
      </c>
      <c r="FQ44">
        <v>0</v>
      </c>
      <c r="FR44">
        <f t="shared" si="57"/>
        <v>0</v>
      </c>
      <c r="FS44">
        <v>0</v>
      </c>
      <c r="FX44">
        <v>187</v>
      </c>
      <c r="FY44">
        <v>101</v>
      </c>
      <c r="GA44" t="s">
        <v>6</v>
      </c>
      <c r="GD44">
        <v>0</v>
      </c>
      <c r="GF44">
        <v>331308664</v>
      </c>
      <c r="GG44">
        <v>2</v>
      </c>
      <c r="GH44">
        <v>1</v>
      </c>
      <c r="GI44">
        <v>2</v>
      </c>
      <c r="GJ44">
        <v>0</v>
      </c>
      <c r="GK44">
        <f>ROUND(R44*(S12)/100,2)</f>
        <v>0</v>
      </c>
      <c r="GL44">
        <f t="shared" si="58"/>
        <v>0</v>
      </c>
      <c r="GM44">
        <f t="shared" si="59"/>
        <v>45872.82</v>
      </c>
      <c r="GN44">
        <f t="shared" si="60"/>
        <v>45872.82</v>
      </c>
      <c r="GO44">
        <f t="shared" si="61"/>
        <v>0</v>
      </c>
      <c r="GP44">
        <f t="shared" si="62"/>
        <v>0</v>
      </c>
      <c r="GR44">
        <v>0</v>
      </c>
      <c r="GS44">
        <v>0</v>
      </c>
      <c r="GT44">
        <v>0</v>
      </c>
      <c r="GU44" t="s">
        <v>6</v>
      </c>
      <c r="GV44">
        <f t="shared" si="63"/>
        <v>0</v>
      </c>
      <c r="GW44">
        <v>1</v>
      </c>
      <c r="GX44">
        <f t="shared" si="64"/>
        <v>0</v>
      </c>
      <c r="HA44">
        <v>0</v>
      </c>
      <c r="HB44">
        <v>0</v>
      </c>
      <c r="HC44">
        <f t="shared" si="65"/>
        <v>0</v>
      </c>
      <c r="HE44" t="s">
        <v>6</v>
      </c>
      <c r="HF44" t="s">
        <v>6</v>
      </c>
      <c r="HM44" t="s">
        <v>6</v>
      </c>
      <c r="HN44" t="s">
        <v>6</v>
      </c>
      <c r="HO44" t="s">
        <v>6</v>
      </c>
      <c r="HP44" t="s">
        <v>6</v>
      </c>
      <c r="HQ44" t="s">
        <v>6</v>
      </c>
      <c r="IK44">
        <v>0</v>
      </c>
    </row>
    <row r="45" spans="1:255">
      <c r="A45" s="2">
        <v>17</v>
      </c>
      <c r="B45" s="2">
        <v>1</v>
      </c>
      <c r="C45" s="2"/>
      <c r="D45" s="2"/>
      <c r="E45" s="2" t="s">
        <v>47</v>
      </c>
      <c r="F45" s="2" t="s">
        <v>48</v>
      </c>
      <c r="G45" s="2" t="s">
        <v>49</v>
      </c>
      <c r="H45" s="2" t="s">
        <v>27</v>
      </c>
      <c r="I45" s="2">
        <f>ROUND(I41,9)</f>
        <v>8</v>
      </c>
      <c r="J45" s="2">
        <v>0</v>
      </c>
      <c r="K45" s="2">
        <f>ROUND(I41,9)</f>
        <v>8</v>
      </c>
      <c r="L45" s="2"/>
      <c r="M45" s="2"/>
      <c r="N45" s="2"/>
      <c r="O45" s="2">
        <f t="shared" si="28"/>
        <v>1035.2</v>
      </c>
      <c r="P45" s="2">
        <f t="shared" si="29"/>
        <v>565.6</v>
      </c>
      <c r="Q45" s="2">
        <f t="shared" si="30"/>
        <v>0</v>
      </c>
      <c r="R45" s="2">
        <f t="shared" si="31"/>
        <v>0</v>
      </c>
      <c r="S45" s="2">
        <f t="shared" si="32"/>
        <v>469.6</v>
      </c>
      <c r="T45" s="2">
        <f t="shared" si="33"/>
        <v>0</v>
      </c>
      <c r="U45" s="2">
        <f t="shared" si="34"/>
        <v>42</v>
      </c>
      <c r="V45" s="2">
        <f t="shared" si="35"/>
        <v>0</v>
      </c>
      <c r="W45" s="2">
        <f t="shared" si="36"/>
        <v>0</v>
      </c>
      <c r="X45" s="2">
        <f t="shared" si="37"/>
        <v>878.15</v>
      </c>
      <c r="Y45" s="2">
        <f t="shared" si="38"/>
        <v>474.3</v>
      </c>
      <c r="Z45" s="2"/>
      <c r="AA45" s="2">
        <v>70322058</v>
      </c>
      <c r="AB45" s="2">
        <f t="shared" si="39"/>
        <v>129.4</v>
      </c>
      <c r="AC45" s="2">
        <f t="shared" si="40"/>
        <v>70.7</v>
      </c>
      <c r="AD45" s="2">
        <f t="shared" si="41"/>
        <v>0</v>
      </c>
      <c r="AE45" s="2">
        <f t="shared" si="42"/>
        <v>0</v>
      </c>
      <c r="AF45" s="2">
        <f t="shared" si="43"/>
        <v>58.7</v>
      </c>
      <c r="AG45" s="2">
        <f t="shared" si="44"/>
        <v>0</v>
      </c>
      <c r="AH45" s="2">
        <f t="shared" si="45"/>
        <v>5.25</v>
      </c>
      <c r="AI45" s="2">
        <f t="shared" si="46"/>
        <v>0</v>
      </c>
      <c r="AJ45" s="2">
        <f t="shared" si="47"/>
        <v>0</v>
      </c>
      <c r="AK45" s="2">
        <v>129.4</v>
      </c>
      <c r="AL45" s="2">
        <v>70.7</v>
      </c>
      <c r="AM45" s="2">
        <v>0</v>
      </c>
      <c r="AN45" s="2">
        <v>0</v>
      </c>
      <c r="AO45" s="2">
        <v>58.7</v>
      </c>
      <c r="AP45" s="2">
        <v>0</v>
      </c>
      <c r="AQ45" s="2">
        <v>5.25</v>
      </c>
      <c r="AR45" s="2">
        <v>0</v>
      </c>
      <c r="AS45" s="2">
        <v>0</v>
      </c>
      <c r="AT45" s="2">
        <v>187</v>
      </c>
      <c r="AU45" s="2">
        <v>101</v>
      </c>
      <c r="AV45" s="2">
        <v>1</v>
      </c>
      <c r="AW45" s="2">
        <v>1</v>
      </c>
      <c r="AX45" s="2"/>
      <c r="AY45" s="2"/>
      <c r="AZ45" s="2">
        <v>1</v>
      </c>
      <c r="BA45" s="2">
        <v>1</v>
      </c>
      <c r="BB45" s="2">
        <v>1</v>
      </c>
      <c r="BC45" s="2">
        <v>1</v>
      </c>
      <c r="BD45" s="2" t="s">
        <v>6</v>
      </c>
      <c r="BE45" s="2" t="s">
        <v>6</v>
      </c>
      <c r="BF45" s="2" t="s">
        <v>6</v>
      </c>
      <c r="BG45" s="2" t="s">
        <v>6</v>
      </c>
      <c r="BH45" s="2">
        <v>0</v>
      </c>
      <c r="BI45" s="2">
        <v>1</v>
      </c>
      <c r="BJ45" s="2" t="s">
        <v>50</v>
      </c>
      <c r="BK45" s="2"/>
      <c r="BL45" s="2"/>
      <c r="BM45" s="2">
        <v>295</v>
      </c>
      <c r="BN45" s="2">
        <v>0</v>
      </c>
      <c r="BO45" s="2" t="s">
        <v>6</v>
      </c>
      <c r="BP45" s="2">
        <v>0</v>
      </c>
      <c r="BQ45" s="2">
        <v>30</v>
      </c>
      <c r="BR45" s="2">
        <v>0</v>
      </c>
      <c r="BS45" s="2">
        <v>1</v>
      </c>
      <c r="BT45" s="2">
        <v>1</v>
      </c>
      <c r="BU45" s="2">
        <v>1</v>
      </c>
      <c r="BV45" s="2">
        <v>1</v>
      </c>
      <c r="BW45" s="2">
        <v>1</v>
      </c>
      <c r="BX45" s="2">
        <v>1</v>
      </c>
      <c r="BY45" s="2" t="s">
        <v>6</v>
      </c>
      <c r="BZ45" s="2">
        <v>187</v>
      </c>
      <c r="CA45" s="2">
        <v>101</v>
      </c>
      <c r="CB45" s="2" t="s">
        <v>6</v>
      </c>
      <c r="CC45" s="2"/>
      <c r="CD45" s="2"/>
      <c r="CE45" s="2">
        <v>30</v>
      </c>
      <c r="CF45" s="2">
        <v>0</v>
      </c>
      <c r="CG45" s="2">
        <v>0</v>
      </c>
      <c r="CH45" s="2"/>
      <c r="CI45" s="2"/>
      <c r="CJ45" s="2"/>
      <c r="CK45" s="2"/>
      <c r="CL45" s="2"/>
      <c r="CM45" s="2">
        <v>0</v>
      </c>
      <c r="CN45" s="2" t="s">
        <v>6</v>
      </c>
      <c r="CO45" s="2">
        <v>0</v>
      </c>
      <c r="CP45" s="2">
        <f t="shared" si="48"/>
        <v>1035.2</v>
      </c>
      <c r="CQ45" s="2">
        <f t="shared" si="49"/>
        <v>70.7</v>
      </c>
      <c r="CR45" s="2">
        <f t="shared" si="50"/>
        <v>0</v>
      </c>
      <c r="CS45" s="2">
        <f t="shared" si="51"/>
        <v>0</v>
      </c>
      <c r="CT45" s="2">
        <f t="shared" si="52"/>
        <v>58.7</v>
      </c>
      <c r="CU45" s="2">
        <f t="shared" si="53"/>
        <v>0</v>
      </c>
      <c r="CV45" s="2">
        <f t="shared" si="54"/>
        <v>5.25</v>
      </c>
      <c r="CW45" s="2">
        <f t="shared" si="55"/>
        <v>0</v>
      </c>
      <c r="CX45" s="2">
        <f t="shared" si="56"/>
        <v>0</v>
      </c>
      <c r="CY45" s="2">
        <f>((S45*BZ45)/100)</f>
        <v>878.15199999999993</v>
      </c>
      <c r="CZ45" s="2">
        <f>((S45*CA45)/100)</f>
        <v>474.29600000000005</v>
      </c>
      <c r="DA45" s="2"/>
      <c r="DB45" s="2"/>
      <c r="DC45" s="2" t="s">
        <v>6</v>
      </c>
      <c r="DD45" s="2" t="s">
        <v>6</v>
      </c>
      <c r="DE45" s="2" t="s">
        <v>6</v>
      </c>
      <c r="DF45" s="2" t="s">
        <v>6</v>
      </c>
      <c r="DG45" s="2" t="s">
        <v>6</v>
      </c>
      <c r="DH45" s="2" t="s">
        <v>6</v>
      </c>
      <c r="DI45" s="2" t="s">
        <v>6</v>
      </c>
      <c r="DJ45" s="2" t="s">
        <v>6</v>
      </c>
      <c r="DK45" s="2" t="s">
        <v>6</v>
      </c>
      <c r="DL45" s="2" t="s">
        <v>6</v>
      </c>
      <c r="DM45" s="2" t="s">
        <v>6</v>
      </c>
      <c r="DN45" s="2">
        <v>0</v>
      </c>
      <c r="DO45" s="2">
        <v>0</v>
      </c>
      <c r="DP45" s="2">
        <v>1</v>
      </c>
      <c r="DQ45" s="2">
        <v>1</v>
      </c>
      <c r="DR45" s="2"/>
      <c r="DS45" s="2"/>
      <c r="DT45" s="2"/>
      <c r="DU45" s="2">
        <v>1005</v>
      </c>
      <c r="DV45" s="2" t="s">
        <v>27</v>
      </c>
      <c r="DW45" s="2" t="s">
        <v>27</v>
      </c>
      <c r="DX45" s="2">
        <v>100</v>
      </c>
      <c r="DY45" s="2"/>
      <c r="DZ45" s="2" t="s">
        <v>6</v>
      </c>
      <c r="EA45" s="2" t="s">
        <v>6</v>
      </c>
      <c r="EB45" s="2" t="s">
        <v>6</v>
      </c>
      <c r="EC45" s="2" t="s">
        <v>6</v>
      </c>
      <c r="ED45" s="2"/>
      <c r="EE45" s="2">
        <v>69252920</v>
      </c>
      <c r="EF45" s="2">
        <v>30</v>
      </c>
      <c r="EG45" s="2" t="s">
        <v>29</v>
      </c>
      <c r="EH45" s="2">
        <v>0</v>
      </c>
      <c r="EI45" s="2" t="s">
        <v>6</v>
      </c>
      <c r="EJ45" s="2">
        <v>1</v>
      </c>
      <c r="EK45" s="2">
        <v>295</v>
      </c>
      <c r="EL45" s="2" t="s">
        <v>30</v>
      </c>
      <c r="EM45" s="2" t="s">
        <v>31</v>
      </c>
      <c r="EN45" s="2"/>
      <c r="EO45" s="2" t="s">
        <v>6</v>
      </c>
      <c r="EP45" s="2"/>
      <c r="EQ45" s="2">
        <v>0</v>
      </c>
      <c r="ER45" s="2">
        <v>129.4</v>
      </c>
      <c r="ES45" s="2">
        <v>70.7</v>
      </c>
      <c r="ET45" s="2">
        <v>0</v>
      </c>
      <c r="EU45" s="2">
        <v>0</v>
      </c>
      <c r="EV45" s="2">
        <v>58.7</v>
      </c>
      <c r="EW45" s="2">
        <v>5.25</v>
      </c>
      <c r="EX45" s="2">
        <v>0</v>
      </c>
      <c r="EY45" s="2">
        <v>0</v>
      </c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>
        <v>0</v>
      </c>
      <c r="FR45" s="2">
        <f t="shared" si="57"/>
        <v>0</v>
      </c>
      <c r="FS45" s="2">
        <v>0</v>
      </c>
      <c r="FT45" s="2"/>
      <c r="FU45" s="2"/>
      <c r="FV45" s="2"/>
      <c r="FW45" s="2"/>
      <c r="FX45" s="2">
        <v>187</v>
      </c>
      <c r="FY45" s="2">
        <v>101</v>
      </c>
      <c r="FZ45" s="2"/>
      <c r="GA45" s="2" t="s">
        <v>6</v>
      </c>
      <c r="GB45" s="2"/>
      <c r="GC45" s="2"/>
      <c r="GD45" s="2">
        <v>0</v>
      </c>
      <c r="GE45" s="2"/>
      <c r="GF45" s="2">
        <v>780776342</v>
      </c>
      <c r="GG45" s="2">
        <v>2</v>
      </c>
      <c r="GH45" s="2">
        <v>1</v>
      </c>
      <c r="GI45" s="2">
        <v>-2</v>
      </c>
      <c r="GJ45" s="2">
        <v>0</v>
      </c>
      <c r="GK45" s="2">
        <f>ROUND(R45*(R12)/100,2)</f>
        <v>0</v>
      </c>
      <c r="GL45" s="2">
        <f t="shared" si="58"/>
        <v>0</v>
      </c>
      <c r="GM45" s="2">
        <f t="shared" si="59"/>
        <v>2387.65</v>
      </c>
      <c r="GN45" s="2">
        <f t="shared" si="60"/>
        <v>2387.65</v>
      </c>
      <c r="GO45" s="2">
        <f t="shared" si="61"/>
        <v>0</v>
      </c>
      <c r="GP45" s="2">
        <f t="shared" si="62"/>
        <v>0</v>
      </c>
      <c r="GQ45" s="2"/>
      <c r="GR45" s="2">
        <v>0</v>
      </c>
      <c r="GS45" s="2">
        <v>3</v>
      </c>
      <c r="GT45" s="2">
        <v>0</v>
      </c>
      <c r="GU45" s="2" t="s">
        <v>6</v>
      </c>
      <c r="GV45" s="2">
        <f t="shared" si="63"/>
        <v>0</v>
      </c>
      <c r="GW45" s="2">
        <v>1</v>
      </c>
      <c r="GX45" s="2">
        <f t="shared" si="64"/>
        <v>0</v>
      </c>
      <c r="GY45" s="2"/>
      <c r="GZ45" s="2"/>
      <c r="HA45" s="2">
        <v>0</v>
      </c>
      <c r="HB45" s="2">
        <v>0</v>
      </c>
      <c r="HC45" s="2">
        <f t="shared" si="65"/>
        <v>0</v>
      </c>
      <c r="HD45" s="2"/>
      <c r="HE45" s="2" t="s">
        <v>6</v>
      </c>
      <c r="HF45" s="2" t="s">
        <v>6</v>
      </c>
      <c r="HG45" s="2"/>
      <c r="HH45" s="2"/>
      <c r="HI45" s="2"/>
      <c r="HJ45" s="2"/>
      <c r="HK45" s="2"/>
      <c r="HL45" s="2"/>
      <c r="HM45" s="2" t="s">
        <v>6</v>
      </c>
      <c r="HN45" s="2" t="s">
        <v>6</v>
      </c>
      <c r="HO45" s="2" t="s">
        <v>6</v>
      </c>
      <c r="HP45" s="2" t="s">
        <v>6</v>
      </c>
      <c r="HQ45" s="2" t="s">
        <v>6</v>
      </c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>
        <v>0</v>
      </c>
      <c r="IL45" s="2"/>
      <c r="IM45" s="2"/>
      <c r="IN45" s="2"/>
      <c r="IO45" s="2"/>
      <c r="IP45" s="2"/>
      <c r="IQ45" s="2"/>
      <c r="IR45" s="2"/>
      <c r="IS45" s="2"/>
      <c r="IT45" s="2"/>
      <c r="IU45" s="2"/>
    </row>
    <row r="46" spans="1:255">
      <c r="A46">
        <v>17</v>
      </c>
      <c r="B46">
        <v>1</v>
      </c>
      <c r="E46" t="s">
        <v>47</v>
      </c>
      <c r="F46" t="s">
        <v>48</v>
      </c>
      <c r="G46" t="s">
        <v>49</v>
      </c>
      <c r="H46" t="s">
        <v>27</v>
      </c>
      <c r="I46">
        <f>ROUND(I42,9)</f>
        <v>8</v>
      </c>
      <c r="J46">
        <v>0</v>
      </c>
      <c r="K46">
        <f>ROUND(I42,9)</f>
        <v>8</v>
      </c>
      <c r="O46">
        <f t="shared" si="28"/>
        <v>25903.71</v>
      </c>
      <c r="P46">
        <f t="shared" si="29"/>
        <v>3987.48</v>
      </c>
      <c r="Q46">
        <f t="shared" si="30"/>
        <v>0</v>
      </c>
      <c r="R46">
        <f t="shared" si="31"/>
        <v>0</v>
      </c>
      <c r="S46">
        <f t="shared" si="32"/>
        <v>21916.23</v>
      </c>
      <c r="T46">
        <f t="shared" si="33"/>
        <v>0</v>
      </c>
      <c r="U46">
        <f t="shared" si="34"/>
        <v>42</v>
      </c>
      <c r="V46">
        <f t="shared" si="35"/>
        <v>0</v>
      </c>
      <c r="W46">
        <f t="shared" si="36"/>
        <v>0</v>
      </c>
      <c r="X46">
        <f t="shared" si="37"/>
        <v>23012.04</v>
      </c>
      <c r="Y46">
        <f t="shared" si="38"/>
        <v>10519.79</v>
      </c>
      <c r="AA46">
        <v>70322059</v>
      </c>
      <c r="AB46">
        <f t="shared" si="39"/>
        <v>129.4</v>
      </c>
      <c r="AC46">
        <f t="shared" si="40"/>
        <v>70.7</v>
      </c>
      <c r="AD46">
        <f t="shared" si="41"/>
        <v>0</v>
      </c>
      <c r="AE46">
        <f t="shared" si="42"/>
        <v>0</v>
      </c>
      <c r="AF46">
        <f t="shared" si="43"/>
        <v>58.7</v>
      </c>
      <c r="AG46">
        <f t="shared" si="44"/>
        <v>0</v>
      </c>
      <c r="AH46">
        <f t="shared" si="45"/>
        <v>5.25</v>
      </c>
      <c r="AI46">
        <f t="shared" si="46"/>
        <v>0</v>
      </c>
      <c r="AJ46">
        <f t="shared" si="47"/>
        <v>0</v>
      </c>
      <c r="AK46">
        <v>129.4</v>
      </c>
      <c r="AL46">
        <v>70.7</v>
      </c>
      <c r="AM46">
        <v>0</v>
      </c>
      <c r="AN46">
        <v>0</v>
      </c>
      <c r="AO46">
        <v>58.7</v>
      </c>
      <c r="AP46">
        <v>0</v>
      </c>
      <c r="AQ46">
        <v>5.25</v>
      </c>
      <c r="AR46">
        <v>0</v>
      </c>
      <c r="AS46">
        <v>0</v>
      </c>
      <c r="AT46">
        <v>105</v>
      </c>
      <c r="AU46">
        <v>48</v>
      </c>
      <c r="AV46">
        <v>1</v>
      </c>
      <c r="AW46">
        <v>1</v>
      </c>
      <c r="AZ46">
        <v>1</v>
      </c>
      <c r="BA46">
        <v>46.67</v>
      </c>
      <c r="BB46">
        <v>1</v>
      </c>
      <c r="BC46">
        <v>7.05</v>
      </c>
      <c r="BD46" t="s">
        <v>6</v>
      </c>
      <c r="BE46" t="s">
        <v>6</v>
      </c>
      <c r="BF46" t="s">
        <v>6</v>
      </c>
      <c r="BG46" t="s">
        <v>6</v>
      </c>
      <c r="BH46">
        <v>0</v>
      </c>
      <c r="BI46">
        <v>1</v>
      </c>
      <c r="BJ46" t="s">
        <v>50</v>
      </c>
      <c r="BM46">
        <v>295</v>
      </c>
      <c r="BN46">
        <v>0</v>
      </c>
      <c r="BO46" t="s">
        <v>48</v>
      </c>
      <c r="BP46">
        <v>1</v>
      </c>
      <c r="BQ46">
        <v>30</v>
      </c>
      <c r="BR46">
        <v>0</v>
      </c>
      <c r="BS46">
        <v>46.67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6</v>
      </c>
      <c r="BZ46">
        <v>105</v>
      </c>
      <c r="CA46">
        <v>48</v>
      </c>
      <c r="CB46" t="s">
        <v>6</v>
      </c>
      <c r="CE46">
        <v>30</v>
      </c>
      <c r="CF46">
        <v>0</v>
      </c>
      <c r="CG46">
        <v>0</v>
      </c>
      <c r="CM46">
        <v>0</v>
      </c>
      <c r="CN46" t="s">
        <v>6</v>
      </c>
      <c r="CO46">
        <v>0</v>
      </c>
      <c r="CP46">
        <f t="shared" si="48"/>
        <v>25903.71</v>
      </c>
      <c r="CQ46">
        <f t="shared" si="49"/>
        <v>498.44</v>
      </c>
      <c r="CR46">
        <f t="shared" si="50"/>
        <v>0</v>
      </c>
      <c r="CS46">
        <f t="shared" si="51"/>
        <v>0</v>
      </c>
      <c r="CT46">
        <f t="shared" si="52"/>
        <v>2739.53</v>
      </c>
      <c r="CU46">
        <f t="shared" si="53"/>
        <v>0</v>
      </c>
      <c r="CV46">
        <f t="shared" si="54"/>
        <v>5.25</v>
      </c>
      <c r="CW46">
        <f t="shared" si="55"/>
        <v>0</v>
      </c>
      <c r="CX46">
        <f t="shared" si="56"/>
        <v>0</v>
      </c>
      <c r="CY46">
        <f>S46*(BZ46/100)</f>
        <v>23012.041499999999</v>
      </c>
      <c r="CZ46">
        <f>S46*(CA46/100)</f>
        <v>10519.7904</v>
      </c>
      <c r="DC46" t="s">
        <v>6</v>
      </c>
      <c r="DD46" t="s">
        <v>6</v>
      </c>
      <c r="DE46" t="s">
        <v>6</v>
      </c>
      <c r="DF46" t="s">
        <v>6</v>
      </c>
      <c r="DG46" t="s">
        <v>6</v>
      </c>
      <c r="DH46" t="s">
        <v>6</v>
      </c>
      <c r="DI46" t="s">
        <v>6</v>
      </c>
      <c r="DJ46" t="s">
        <v>6</v>
      </c>
      <c r="DK46" t="s">
        <v>6</v>
      </c>
      <c r="DL46" t="s">
        <v>6</v>
      </c>
      <c r="DM46" t="s">
        <v>6</v>
      </c>
      <c r="DN46">
        <v>187</v>
      </c>
      <c r="DO46">
        <v>101</v>
      </c>
      <c r="DP46">
        <v>1</v>
      </c>
      <c r="DQ46">
        <v>1</v>
      </c>
      <c r="DU46">
        <v>1005</v>
      </c>
      <c r="DV46" t="s">
        <v>27</v>
      </c>
      <c r="DW46" t="s">
        <v>27</v>
      </c>
      <c r="DX46">
        <v>100</v>
      </c>
      <c r="DZ46" t="s">
        <v>6</v>
      </c>
      <c r="EA46" t="s">
        <v>6</v>
      </c>
      <c r="EB46" t="s">
        <v>6</v>
      </c>
      <c r="EC46" t="s">
        <v>6</v>
      </c>
      <c r="EE46">
        <v>69252920</v>
      </c>
      <c r="EF46">
        <v>30</v>
      </c>
      <c r="EG46" t="s">
        <v>29</v>
      </c>
      <c r="EH46">
        <v>0</v>
      </c>
      <c r="EI46" t="s">
        <v>6</v>
      </c>
      <c r="EJ46">
        <v>1</v>
      </c>
      <c r="EK46">
        <v>295</v>
      </c>
      <c r="EL46" t="s">
        <v>30</v>
      </c>
      <c r="EM46" t="s">
        <v>31</v>
      </c>
      <c r="EO46" t="s">
        <v>6</v>
      </c>
      <c r="EQ46">
        <v>0</v>
      </c>
      <c r="ER46">
        <v>129.4</v>
      </c>
      <c r="ES46">
        <v>70.7</v>
      </c>
      <c r="ET46">
        <v>0</v>
      </c>
      <c r="EU46">
        <v>0</v>
      </c>
      <c r="EV46">
        <v>58.7</v>
      </c>
      <c r="EW46">
        <v>5.25</v>
      </c>
      <c r="EX46">
        <v>0</v>
      </c>
      <c r="EY46">
        <v>0</v>
      </c>
      <c r="FQ46">
        <v>0</v>
      </c>
      <c r="FR46">
        <f t="shared" si="57"/>
        <v>0</v>
      </c>
      <c r="FS46">
        <v>0</v>
      </c>
      <c r="FX46">
        <v>187</v>
      </c>
      <c r="FY46">
        <v>101</v>
      </c>
      <c r="GA46" t="s">
        <v>6</v>
      </c>
      <c r="GD46">
        <v>0</v>
      </c>
      <c r="GF46">
        <v>780776342</v>
      </c>
      <c r="GG46">
        <v>2</v>
      </c>
      <c r="GH46">
        <v>1</v>
      </c>
      <c r="GI46">
        <v>2</v>
      </c>
      <c r="GJ46">
        <v>0</v>
      </c>
      <c r="GK46">
        <f>ROUND(R46*(S12)/100,2)</f>
        <v>0</v>
      </c>
      <c r="GL46">
        <f t="shared" si="58"/>
        <v>0</v>
      </c>
      <c r="GM46">
        <f t="shared" si="59"/>
        <v>59435.54</v>
      </c>
      <c r="GN46">
        <f t="shared" si="60"/>
        <v>59435.54</v>
      </c>
      <c r="GO46">
        <f t="shared" si="61"/>
        <v>0</v>
      </c>
      <c r="GP46">
        <f t="shared" si="62"/>
        <v>0</v>
      </c>
      <c r="GR46">
        <v>0</v>
      </c>
      <c r="GS46">
        <v>0</v>
      </c>
      <c r="GT46">
        <v>0</v>
      </c>
      <c r="GU46" t="s">
        <v>6</v>
      </c>
      <c r="GV46">
        <f t="shared" si="63"/>
        <v>0</v>
      </c>
      <c r="GW46">
        <v>1</v>
      </c>
      <c r="GX46">
        <f t="shared" si="64"/>
        <v>0</v>
      </c>
      <c r="HA46">
        <v>0</v>
      </c>
      <c r="HB46">
        <v>0</v>
      </c>
      <c r="HC46">
        <f t="shared" si="65"/>
        <v>0</v>
      </c>
      <c r="HE46" t="s">
        <v>6</v>
      </c>
      <c r="HF46" t="s">
        <v>6</v>
      </c>
      <c r="HM46" t="s">
        <v>6</v>
      </c>
      <c r="HN46" t="s">
        <v>6</v>
      </c>
      <c r="HO46" t="s">
        <v>6</v>
      </c>
      <c r="HP46" t="s">
        <v>6</v>
      </c>
      <c r="HQ46" t="s">
        <v>6</v>
      </c>
      <c r="IK46">
        <v>0</v>
      </c>
    </row>
    <row r="47" spans="1:255">
      <c r="A47" s="2">
        <v>18</v>
      </c>
      <c r="B47" s="2">
        <v>1</v>
      </c>
      <c r="C47" s="2"/>
      <c r="D47" s="2"/>
      <c r="E47" s="2" t="s">
        <v>51</v>
      </c>
      <c r="F47" s="2" t="s">
        <v>52</v>
      </c>
      <c r="G47" s="2" t="s">
        <v>53</v>
      </c>
      <c r="H47" s="2" t="s">
        <v>54</v>
      </c>
      <c r="I47" s="2">
        <f>I45*J47</f>
        <v>32</v>
      </c>
      <c r="J47" s="2">
        <v>4</v>
      </c>
      <c r="K47" s="2">
        <v>4</v>
      </c>
      <c r="L47" s="2"/>
      <c r="M47" s="2"/>
      <c r="N47" s="2"/>
      <c r="O47" s="2">
        <f t="shared" si="28"/>
        <v>1853.76</v>
      </c>
      <c r="P47" s="2">
        <f t="shared" si="29"/>
        <v>1853.76</v>
      </c>
      <c r="Q47" s="2">
        <f t="shared" si="30"/>
        <v>0</v>
      </c>
      <c r="R47" s="2">
        <f t="shared" si="31"/>
        <v>0</v>
      </c>
      <c r="S47" s="2">
        <f t="shared" si="32"/>
        <v>0</v>
      </c>
      <c r="T47" s="2">
        <f t="shared" si="33"/>
        <v>0</v>
      </c>
      <c r="U47" s="2">
        <f t="shared" si="34"/>
        <v>0</v>
      </c>
      <c r="V47" s="2">
        <f t="shared" si="35"/>
        <v>0</v>
      </c>
      <c r="W47" s="2">
        <f t="shared" si="36"/>
        <v>0</v>
      </c>
      <c r="X47" s="2">
        <f t="shared" si="37"/>
        <v>0</v>
      </c>
      <c r="Y47" s="2">
        <f t="shared" si="38"/>
        <v>0</v>
      </c>
      <c r="Z47" s="2"/>
      <c r="AA47" s="2">
        <v>70322058</v>
      </c>
      <c r="AB47" s="2">
        <f t="shared" si="39"/>
        <v>57.93</v>
      </c>
      <c r="AC47" s="2">
        <f t="shared" si="40"/>
        <v>57.93</v>
      </c>
      <c r="AD47" s="2">
        <f t="shared" si="41"/>
        <v>0</v>
      </c>
      <c r="AE47" s="2">
        <f t="shared" si="42"/>
        <v>0</v>
      </c>
      <c r="AF47" s="2">
        <f t="shared" si="43"/>
        <v>0</v>
      </c>
      <c r="AG47" s="2">
        <f t="shared" si="44"/>
        <v>0</v>
      </c>
      <c r="AH47" s="2">
        <f t="shared" si="45"/>
        <v>0</v>
      </c>
      <c r="AI47" s="2">
        <f t="shared" si="46"/>
        <v>0</v>
      </c>
      <c r="AJ47" s="2">
        <f t="shared" si="47"/>
        <v>0</v>
      </c>
      <c r="AK47" s="2">
        <v>57.93</v>
      </c>
      <c r="AL47" s="2">
        <v>57.93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187</v>
      </c>
      <c r="AU47" s="2">
        <v>101</v>
      </c>
      <c r="AV47" s="2">
        <v>1</v>
      </c>
      <c r="AW47" s="2">
        <v>1</v>
      </c>
      <c r="AX47" s="2"/>
      <c r="AY47" s="2"/>
      <c r="AZ47" s="2">
        <v>1</v>
      </c>
      <c r="BA47" s="2">
        <v>1</v>
      </c>
      <c r="BB47" s="2">
        <v>1</v>
      </c>
      <c r="BC47" s="2">
        <v>1</v>
      </c>
      <c r="BD47" s="2" t="s">
        <v>6</v>
      </c>
      <c r="BE47" s="2" t="s">
        <v>6</v>
      </c>
      <c r="BF47" s="2" t="s">
        <v>6</v>
      </c>
      <c r="BG47" s="2" t="s">
        <v>6</v>
      </c>
      <c r="BH47" s="2">
        <v>3</v>
      </c>
      <c r="BI47" s="2">
        <v>1</v>
      </c>
      <c r="BJ47" s="2" t="s">
        <v>55</v>
      </c>
      <c r="BK47" s="2"/>
      <c r="BL47" s="2"/>
      <c r="BM47" s="2">
        <v>295</v>
      </c>
      <c r="BN47" s="2">
        <v>0</v>
      </c>
      <c r="BO47" s="2" t="s">
        <v>6</v>
      </c>
      <c r="BP47" s="2">
        <v>0</v>
      </c>
      <c r="BQ47" s="2">
        <v>30</v>
      </c>
      <c r="BR47" s="2">
        <v>0</v>
      </c>
      <c r="BS47" s="2">
        <v>1</v>
      </c>
      <c r="BT47" s="2">
        <v>1</v>
      </c>
      <c r="BU47" s="2">
        <v>1</v>
      </c>
      <c r="BV47" s="2">
        <v>1</v>
      </c>
      <c r="BW47" s="2">
        <v>1</v>
      </c>
      <c r="BX47" s="2">
        <v>1</v>
      </c>
      <c r="BY47" s="2" t="s">
        <v>6</v>
      </c>
      <c r="BZ47" s="2">
        <v>187</v>
      </c>
      <c r="CA47" s="2">
        <v>101</v>
      </c>
      <c r="CB47" s="2" t="s">
        <v>6</v>
      </c>
      <c r="CC47" s="2"/>
      <c r="CD47" s="2"/>
      <c r="CE47" s="2">
        <v>30</v>
      </c>
      <c r="CF47" s="2">
        <v>0</v>
      </c>
      <c r="CG47" s="2">
        <v>0</v>
      </c>
      <c r="CH47" s="2"/>
      <c r="CI47" s="2"/>
      <c r="CJ47" s="2"/>
      <c r="CK47" s="2"/>
      <c r="CL47" s="2"/>
      <c r="CM47" s="2">
        <v>0</v>
      </c>
      <c r="CN47" s="2" t="s">
        <v>6</v>
      </c>
      <c r="CO47" s="2">
        <v>0</v>
      </c>
      <c r="CP47" s="2">
        <f t="shared" si="48"/>
        <v>1853.76</v>
      </c>
      <c r="CQ47" s="2">
        <f t="shared" si="49"/>
        <v>57.93</v>
      </c>
      <c r="CR47" s="2">
        <f t="shared" si="50"/>
        <v>0</v>
      </c>
      <c r="CS47" s="2">
        <f t="shared" si="51"/>
        <v>0</v>
      </c>
      <c r="CT47" s="2">
        <f t="shared" si="52"/>
        <v>0</v>
      </c>
      <c r="CU47" s="2">
        <f t="shared" si="53"/>
        <v>0</v>
      </c>
      <c r="CV47" s="2">
        <f t="shared" si="54"/>
        <v>0</v>
      </c>
      <c r="CW47" s="2">
        <f t="shared" si="55"/>
        <v>0</v>
      </c>
      <c r="CX47" s="2">
        <f t="shared" si="56"/>
        <v>0</v>
      </c>
      <c r="CY47" s="2">
        <f>((S47*BZ47)/100)</f>
        <v>0</v>
      </c>
      <c r="CZ47" s="2">
        <f>((S47*CA47)/100)</f>
        <v>0</v>
      </c>
      <c r="DA47" s="2"/>
      <c r="DB47" s="2"/>
      <c r="DC47" s="2" t="s">
        <v>6</v>
      </c>
      <c r="DD47" s="2" t="s">
        <v>6</v>
      </c>
      <c r="DE47" s="2" t="s">
        <v>6</v>
      </c>
      <c r="DF47" s="2" t="s">
        <v>6</v>
      </c>
      <c r="DG47" s="2" t="s">
        <v>6</v>
      </c>
      <c r="DH47" s="2" t="s">
        <v>6</v>
      </c>
      <c r="DI47" s="2" t="s">
        <v>6</v>
      </c>
      <c r="DJ47" s="2" t="s">
        <v>6</v>
      </c>
      <c r="DK47" s="2" t="s">
        <v>6</v>
      </c>
      <c r="DL47" s="2" t="s">
        <v>6</v>
      </c>
      <c r="DM47" s="2" t="s">
        <v>6</v>
      </c>
      <c r="DN47" s="2">
        <v>0</v>
      </c>
      <c r="DO47" s="2">
        <v>0</v>
      </c>
      <c r="DP47" s="2">
        <v>1</v>
      </c>
      <c r="DQ47" s="2">
        <v>1</v>
      </c>
      <c r="DR47" s="2"/>
      <c r="DS47" s="2"/>
      <c r="DT47" s="2"/>
      <c r="DU47" s="2">
        <v>1009</v>
      </c>
      <c r="DV47" s="2" t="s">
        <v>54</v>
      </c>
      <c r="DW47" s="2" t="s">
        <v>54</v>
      </c>
      <c r="DX47" s="2">
        <v>1</v>
      </c>
      <c r="DY47" s="2"/>
      <c r="DZ47" s="2" t="s">
        <v>6</v>
      </c>
      <c r="EA47" s="2" t="s">
        <v>6</v>
      </c>
      <c r="EB47" s="2" t="s">
        <v>6</v>
      </c>
      <c r="EC47" s="2" t="s">
        <v>6</v>
      </c>
      <c r="ED47" s="2"/>
      <c r="EE47" s="2">
        <v>69252920</v>
      </c>
      <c r="EF47" s="2">
        <v>30</v>
      </c>
      <c r="EG47" s="2" t="s">
        <v>29</v>
      </c>
      <c r="EH47" s="2">
        <v>0</v>
      </c>
      <c r="EI47" s="2" t="s">
        <v>6</v>
      </c>
      <c r="EJ47" s="2">
        <v>1</v>
      </c>
      <c r="EK47" s="2">
        <v>295</v>
      </c>
      <c r="EL47" s="2" t="s">
        <v>30</v>
      </c>
      <c r="EM47" s="2" t="s">
        <v>31</v>
      </c>
      <c r="EN47" s="2"/>
      <c r="EO47" s="2" t="s">
        <v>6</v>
      </c>
      <c r="EP47" s="2"/>
      <c r="EQ47" s="2">
        <v>0</v>
      </c>
      <c r="ER47" s="2">
        <v>57.93</v>
      </c>
      <c r="ES47" s="2">
        <v>57.93</v>
      </c>
      <c r="ET47" s="2">
        <v>0</v>
      </c>
      <c r="EU47" s="2">
        <v>0</v>
      </c>
      <c r="EV47" s="2">
        <v>0</v>
      </c>
      <c r="EW47" s="2">
        <v>0</v>
      </c>
      <c r="EX47" s="2">
        <v>0</v>
      </c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>
        <v>0</v>
      </c>
      <c r="FR47" s="2">
        <f t="shared" si="57"/>
        <v>0</v>
      </c>
      <c r="FS47" s="2">
        <v>0</v>
      </c>
      <c r="FT47" s="2"/>
      <c r="FU47" s="2"/>
      <c r="FV47" s="2"/>
      <c r="FW47" s="2"/>
      <c r="FX47" s="2">
        <v>187</v>
      </c>
      <c r="FY47" s="2">
        <v>101</v>
      </c>
      <c r="FZ47" s="2"/>
      <c r="GA47" s="2" t="s">
        <v>6</v>
      </c>
      <c r="GB47" s="2"/>
      <c r="GC47" s="2"/>
      <c r="GD47" s="2">
        <v>0</v>
      </c>
      <c r="GE47" s="2"/>
      <c r="GF47" s="2">
        <v>2028663304</v>
      </c>
      <c r="GG47" s="2">
        <v>2</v>
      </c>
      <c r="GH47" s="2">
        <v>1</v>
      </c>
      <c r="GI47" s="2">
        <v>-2</v>
      </c>
      <c r="GJ47" s="2">
        <v>0</v>
      </c>
      <c r="GK47" s="2">
        <f>ROUND(R47*(R12)/100,2)</f>
        <v>0</v>
      </c>
      <c r="GL47" s="2">
        <f t="shared" si="58"/>
        <v>0</v>
      </c>
      <c r="GM47" s="2">
        <f t="shared" si="59"/>
        <v>1853.76</v>
      </c>
      <c r="GN47" s="2">
        <f t="shared" si="60"/>
        <v>1853.76</v>
      </c>
      <c r="GO47" s="2">
        <f t="shared" si="61"/>
        <v>0</v>
      </c>
      <c r="GP47" s="2">
        <f t="shared" si="62"/>
        <v>0</v>
      </c>
      <c r="GQ47" s="2"/>
      <c r="GR47" s="2">
        <v>0</v>
      </c>
      <c r="GS47" s="2">
        <v>3</v>
      </c>
      <c r="GT47" s="2">
        <v>0</v>
      </c>
      <c r="GU47" s="2" t="s">
        <v>6</v>
      </c>
      <c r="GV47" s="2">
        <f t="shared" si="63"/>
        <v>0</v>
      </c>
      <c r="GW47" s="2">
        <v>1</v>
      </c>
      <c r="GX47" s="2">
        <f t="shared" si="64"/>
        <v>0</v>
      </c>
      <c r="GY47" s="2"/>
      <c r="GZ47" s="2"/>
      <c r="HA47" s="2">
        <v>0</v>
      </c>
      <c r="HB47" s="2">
        <v>0</v>
      </c>
      <c r="HC47" s="2">
        <f t="shared" si="65"/>
        <v>0</v>
      </c>
      <c r="HD47" s="2"/>
      <c r="HE47" s="2" t="s">
        <v>6</v>
      </c>
      <c r="HF47" s="2" t="s">
        <v>6</v>
      </c>
      <c r="HG47" s="2"/>
      <c r="HH47" s="2"/>
      <c r="HI47" s="2"/>
      <c r="HJ47" s="2"/>
      <c r="HK47" s="2"/>
      <c r="HL47" s="2"/>
      <c r="HM47" s="2" t="s">
        <v>6</v>
      </c>
      <c r="HN47" s="2" t="s">
        <v>6</v>
      </c>
      <c r="HO47" s="2" t="s">
        <v>6</v>
      </c>
      <c r="HP47" s="2" t="s">
        <v>6</v>
      </c>
      <c r="HQ47" s="2" t="s">
        <v>6</v>
      </c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>
        <v>0</v>
      </c>
      <c r="IL47" s="2"/>
      <c r="IM47" s="2"/>
      <c r="IN47" s="2"/>
      <c r="IO47" s="2"/>
      <c r="IP47" s="2"/>
      <c r="IQ47" s="2"/>
      <c r="IR47" s="2"/>
      <c r="IS47" s="2"/>
      <c r="IT47" s="2"/>
      <c r="IU47" s="2"/>
    </row>
    <row r="48" spans="1:255">
      <c r="A48">
        <v>18</v>
      </c>
      <c r="B48">
        <v>1</v>
      </c>
      <c r="E48" t="s">
        <v>51</v>
      </c>
      <c r="F48" t="s">
        <v>52</v>
      </c>
      <c r="G48" t="s">
        <v>53</v>
      </c>
      <c r="H48" t="s">
        <v>54</v>
      </c>
      <c r="I48">
        <f>I46*J48</f>
        <v>32</v>
      </c>
      <c r="J48">
        <v>4</v>
      </c>
      <c r="K48">
        <v>4</v>
      </c>
      <c r="O48">
        <f t="shared" si="28"/>
        <v>4782.7</v>
      </c>
      <c r="P48">
        <f t="shared" si="29"/>
        <v>4782.7</v>
      </c>
      <c r="Q48">
        <f t="shared" si="30"/>
        <v>0</v>
      </c>
      <c r="R48">
        <f t="shared" si="31"/>
        <v>0</v>
      </c>
      <c r="S48">
        <f t="shared" si="32"/>
        <v>0</v>
      </c>
      <c r="T48">
        <f t="shared" si="33"/>
        <v>0</v>
      </c>
      <c r="U48">
        <f t="shared" si="34"/>
        <v>0</v>
      </c>
      <c r="V48">
        <f t="shared" si="35"/>
        <v>0</v>
      </c>
      <c r="W48">
        <f t="shared" si="36"/>
        <v>0</v>
      </c>
      <c r="X48">
        <f t="shared" si="37"/>
        <v>0</v>
      </c>
      <c r="Y48">
        <f t="shared" si="38"/>
        <v>0</v>
      </c>
      <c r="AA48">
        <v>70322059</v>
      </c>
      <c r="AB48">
        <f t="shared" si="39"/>
        <v>57.93</v>
      </c>
      <c r="AC48">
        <f t="shared" si="40"/>
        <v>57.93</v>
      </c>
      <c r="AD48">
        <f t="shared" si="41"/>
        <v>0</v>
      </c>
      <c r="AE48">
        <f t="shared" si="42"/>
        <v>0</v>
      </c>
      <c r="AF48">
        <f t="shared" si="43"/>
        <v>0</v>
      </c>
      <c r="AG48">
        <f t="shared" si="44"/>
        <v>0</v>
      </c>
      <c r="AH48">
        <f t="shared" si="45"/>
        <v>0</v>
      </c>
      <c r="AI48">
        <f t="shared" si="46"/>
        <v>0</v>
      </c>
      <c r="AJ48">
        <f t="shared" si="47"/>
        <v>0</v>
      </c>
      <c r="AK48">
        <v>57.93</v>
      </c>
      <c r="AL48">
        <v>57.93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2.58</v>
      </c>
      <c r="BD48" t="s">
        <v>6</v>
      </c>
      <c r="BE48" t="s">
        <v>6</v>
      </c>
      <c r="BF48" t="s">
        <v>6</v>
      </c>
      <c r="BG48" t="s">
        <v>6</v>
      </c>
      <c r="BH48">
        <v>3</v>
      </c>
      <c r="BI48">
        <v>1</v>
      </c>
      <c r="BJ48" t="s">
        <v>55</v>
      </c>
      <c r="BM48">
        <v>295</v>
      </c>
      <c r="BN48">
        <v>0</v>
      </c>
      <c r="BO48" t="s">
        <v>52</v>
      </c>
      <c r="BP48">
        <v>1</v>
      </c>
      <c r="BQ48">
        <v>30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6</v>
      </c>
      <c r="BZ48">
        <v>0</v>
      </c>
      <c r="CA48">
        <v>0</v>
      </c>
      <c r="CB48" t="s">
        <v>6</v>
      </c>
      <c r="CE48">
        <v>30</v>
      </c>
      <c r="CF48">
        <v>0</v>
      </c>
      <c r="CG48">
        <v>0</v>
      </c>
      <c r="CM48">
        <v>0</v>
      </c>
      <c r="CN48" t="s">
        <v>6</v>
      </c>
      <c r="CO48">
        <v>0</v>
      </c>
      <c r="CP48">
        <f t="shared" si="48"/>
        <v>4782.7</v>
      </c>
      <c r="CQ48">
        <f t="shared" si="49"/>
        <v>149.46</v>
      </c>
      <c r="CR48">
        <f t="shared" si="50"/>
        <v>0</v>
      </c>
      <c r="CS48">
        <f t="shared" si="51"/>
        <v>0</v>
      </c>
      <c r="CT48">
        <f t="shared" si="52"/>
        <v>0</v>
      </c>
      <c r="CU48">
        <f t="shared" si="53"/>
        <v>0</v>
      </c>
      <c r="CV48">
        <f t="shared" si="54"/>
        <v>0</v>
      </c>
      <c r="CW48">
        <f t="shared" si="55"/>
        <v>0</v>
      </c>
      <c r="CX48">
        <f t="shared" si="56"/>
        <v>0</v>
      </c>
      <c r="CY48">
        <f>S48*(BZ48/100)</f>
        <v>0</v>
      </c>
      <c r="CZ48">
        <f>S48*(CA48/100)</f>
        <v>0</v>
      </c>
      <c r="DC48" t="s">
        <v>6</v>
      </c>
      <c r="DD48" t="s">
        <v>6</v>
      </c>
      <c r="DE48" t="s">
        <v>6</v>
      </c>
      <c r="DF48" t="s">
        <v>6</v>
      </c>
      <c r="DG48" t="s">
        <v>6</v>
      </c>
      <c r="DH48" t="s">
        <v>6</v>
      </c>
      <c r="DI48" t="s">
        <v>6</v>
      </c>
      <c r="DJ48" t="s">
        <v>6</v>
      </c>
      <c r="DK48" t="s">
        <v>6</v>
      </c>
      <c r="DL48" t="s">
        <v>6</v>
      </c>
      <c r="DM48" t="s">
        <v>6</v>
      </c>
      <c r="DN48">
        <v>187</v>
      </c>
      <c r="DO48">
        <v>101</v>
      </c>
      <c r="DP48">
        <v>1</v>
      </c>
      <c r="DQ48">
        <v>1</v>
      </c>
      <c r="DU48">
        <v>1009</v>
      </c>
      <c r="DV48" t="s">
        <v>54</v>
      </c>
      <c r="DW48" t="s">
        <v>54</v>
      </c>
      <c r="DX48">
        <v>1</v>
      </c>
      <c r="DZ48" t="s">
        <v>6</v>
      </c>
      <c r="EA48" t="s">
        <v>6</v>
      </c>
      <c r="EB48" t="s">
        <v>6</v>
      </c>
      <c r="EC48" t="s">
        <v>6</v>
      </c>
      <c r="EE48">
        <v>69252920</v>
      </c>
      <c r="EF48">
        <v>30</v>
      </c>
      <c r="EG48" t="s">
        <v>29</v>
      </c>
      <c r="EH48">
        <v>0</v>
      </c>
      <c r="EI48" t="s">
        <v>6</v>
      </c>
      <c r="EJ48">
        <v>1</v>
      </c>
      <c r="EK48">
        <v>295</v>
      </c>
      <c r="EL48" t="s">
        <v>30</v>
      </c>
      <c r="EM48" t="s">
        <v>31</v>
      </c>
      <c r="EO48" t="s">
        <v>6</v>
      </c>
      <c r="EQ48">
        <v>0</v>
      </c>
      <c r="ER48">
        <v>57.93</v>
      </c>
      <c r="ES48">
        <v>57.93</v>
      </c>
      <c r="ET48">
        <v>0</v>
      </c>
      <c r="EU48">
        <v>0</v>
      </c>
      <c r="EV48">
        <v>0</v>
      </c>
      <c r="EW48">
        <v>0</v>
      </c>
      <c r="EX48">
        <v>0</v>
      </c>
      <c r="FQ48">
        <v>0</v>
      </c>
      <c r="FR48">
        <f t="shared" si="57"/>
        <v>0</v>
      </c>
      <c r="FS48">
        <v>0</v>
      </c>
      <c r="FX48">
        <v>187</v>
      </c>
      <c r="FY48">
        <v>101</v>
      </c>
      <c r="GA48" t="s">
        <v>6</v>
      </c>
      <c r="GD48">
        <v>0</v>
      </c>
      <c r="GF48">
        <v>2028663304</v>
      </c>
      <c r="GG48">
        <v>2</v>
      </c>
      <c r="GH48">
        <v>1</v>
      </c>
      <c r="GI48">
        <v>2</v>
      </c>
      <c r="GJ48">
        <v>0</v>
      </c>
      <c r="GK48">
        <f>ROUND(R48*(S12)/100,2)</f>
        <v>0</v>
      </c>
      <c r="GL48">
        <f t="shared" si="58"/>
        <v>0</v>
      </c>
      <c r="GM48">
        <f t="shared" si="59"/>
        <v>4782.7</v>
      </c>
      <c r="GN48">
        <f t="shared" si="60"/>
        <v>4782.7</v>
      </c>
      <c r="GO48">
        <f t="shared" si="61"/>
        <v>0</v>
      </c>
      <c r="GP48">
        <f t="shared" si="62"/>
        <v>0</v>
      </c>
      <c r="GR48">
        <v>0</v>
      </c>
      <c r="GS48">
        <v>0</v>
      </c>
      <c r="GT48">
        <v>0</v>
      </c>
      <c r="GU48" t="s">
        <v>6</v>
      </c>
      <c r="GV48">
        <f t="shared" si="63"/>
        <v>0</v>
      </c>
      <c r="GW48">
        <v>1</v>
      </c>
      <c r="GX48">
        <f t="shared" si="64"/>
        <v>0</v>
      </c>
      <c r="HA48">
        <v>0</v>
      </c>
      <c r="HB48">
        <v>0</v>
      </c>
      <c r="HC48">
        <f t="shared" si="65"/>
        <v>0</v>
      </c>
      <c r="HE48" t="s">
        <v>6</v>
      </c>
      <c r="HF48" t="s">
        <v>6</v>
      </c>
      <c r="HM48" t="s">
        <v>6</v>
      </c>
      <c r="HN48" t="s">
        <v>6</v>
      </c>
      <c r="HO48" t="s">
        <v>6</v>
      </c>
      <c r="HP48" t="s">
        <v>6</v>
      </c>
      <c r="HQ48" t="s">
        <v>6</v>
      </c>
      <c r="IK48">
        <v>0</v>
      </c>
    </row>
    <row r="49" spans="1:255">
      <c r="A49" s="2">
        <v>19</v>
      </c>
      <c r="B49" s="2">
        <v>1</v>
      </c>
      <c r="C49" s="2"/>
      <c r="D49" s="2"/>
      <c r="E49" s="2"/>
      <c r="F49" s="2" t="s">
        <v>6</v>
      </c>
      <c r="G49" s="2" t="s">
        <v>56</v>
      </c>
      <c r="H49" s="2" t="s">
        <v>6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>
        <v>1</v>
      </c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>
        <v>0</v>
      </c>
      <c r="IL49" s="2"/>
      <c r="IM49" s="2"/>
      <c r="IN49" s="2"/>
      <c r="IO49" s="2"/>
      <c r="IP49" s="2"/>
      <c r="IQ49" s="2"/>
      <c r="IR49" s="2"/>
      <c r="IS49" s="2"/>
      <c r="IT49" s="2"/>
      <c r="IU49" s="2"/>
    </row>
    <row r="50" spans="1:255">
      <c r="A50" s="2">
        <v>17</v>
      </c>
      <c r="B50" s="2">
        <v>1</v>
      </c>
      <c r="C50" s="2"/>
      <c r="D50" s="2"/>
      <c r="E50" s="2" t="s">
        <v>57</v>
      </c>
      <c r="F50" s="2" t="s">
        <v>25</v>
      </c>
      <c r="G50" s="2" t="s">
        <v>26</v>
      </c>
      <c r="H50" s="2" t="s">
        <v>27</v>
      </c>
      <c r="I50" s="2">
        <f>ROUND((3000)/100*0.75,9)</f>
        <v>22.5</v>
      </c>
      <c r="J50" s="2">
        <v>0</v>
      </c>
      <c r="K50" s="2">
        <f>ROUND((3000)/100*0.75,9)</f>
        <v>22.5</v>
      </c>
      <c r="L50" s="2"/>
      <c r="M50" s="2"/>
      <c r="N50" s="2"/>
      <c r="O50" s="2">
        <f t="shared" ref="O50:O65" si="66">ROUND(CP50,2)</f>
        <v>6397.43</v>
      </c>
      <c r="P50" s="2">
        <f t="shared" ref="P50:P65" si="67">ROUND((ROUND((AC50*AW50*I50),2)*BC50),2)</f>
        <v>0</v>
      </c>
      <c r="Q50" s="2">
        <f t="shared" ref="Q50:Q57" si="68">(ROUND((ROUND(((ET50)*AV50*I50),2)*BB50),2)+ROUND((ROUND(((AE50-(EU50))*AV50*I50),2)*BS50),2))</f>
        <v>124.88</v>
      </c>
      <c r="R50" s="2">
        <f t="shared" ref="R50:R65" si="69">ROUND((ROUND((AE50*AV50*I50),2)*BS50),2)</f>
        <v>14.18</v>
      </c>
      <c r="S50" s="2">
        <f t="shared" ref="S50:S65" si="70">ROUND((ROUND((AF50*AV50*I50),2)*BA50),2)</f>
        <v>6272.55</v>
      </c>
      <c r="T50" s="2">
        <f t="shared" ref="T50:T65" si="71">ROUND(CU50*I50,2)</f>
        <v>0</v>
      </c>
      <c r="U50" s="2">
        <f t="shared" ref="U50:U65" si="72">CV50*I50</f>
        <v>602.55000000000007</v>
      </c>
      <c r="V50" s="2">
        <f t="shared" ref="V50:V65" si="73">CW50*I50</f>
        <v>0</v>
      </c>
      <c r="W50" s="2">
        <f t="shared" ref="W50:W65" si="74">ROUND(CX50*I50,2)</f>
        <v>0</v>
      </c>
      <c r="X50" s="2">
        <f t="shared" ref="X50:X65" si="75">ROUND(CY50,2)</f>
        <v>11729.67</v>
      </c>
      <c r="Y50" s="2">
        <f t="shared" ref="Y50:Y65" si="76">ROUND(CZ50,2)</f>
        <v>6335.28</v>
      </c>
      <c r="Z50" s="2"/>
      <c r="AA50" s="2">
        <v>70322058</v>
      </c>
      <c r="AB50" s="2">
        <f t="shared" ref="AB50:AB65" si="77">ROUND((AC50+AD50+AF50),6)</f>
        <v>284.33</v>
      </c>
      <c r="AC50" s="2">
        <f t="shared" ref="AC50:AC57" si="78">ROUND((ES50),6)</f>
        <v>0</v>
      </c>
      <c r="AD50" s="2">
        <f t="shared" ref="AD50:AD57" si="79">ROUND((((ET50)-(EU50))+AE50),6)</f>
        <v>5.55</v>
      </c>
      <c r="AE50" s="2">
        <f t="shared" ref="AE50:AF57" si="80">ROUND((EU50),6)</f>
        <v>0.63</v>
      </c>
      <c r="AF50" s="2">
        <f t="shared" si="80"/>
        <v>278.77999999999997</v>
      </c>
      <c r="AG50" s="2">
        <f t="shared" ref="AG50:AG65" si="81">ROUND((AP50),6)</f>
        <v>0</v>
      </c>
      <c r="AH50" s="2">
        <f t="shared" ref="AH50:AI57" si="82">(EW50)</f>
        <v>26.78</v>
      </c>
      <c r="AI50" s="2">
        <f t="shared" si="82"/>
        <v>0</v>
      </c>
      <c r="AJ50" s="2">
        <f t="shared" ref="AJ50:AJ65" si="83">(AS50)</f>
        <v>0</v>
      </c>
      <c r="AK50" s="2">
        <v>284.33</v>
      </c>
      <c r="AL50" s="2">
        <v>0</v>
      </c>
      <c r="AM50" s="2">
        <v>5.55</v>
      </c>
      <c r="AN50" s="2">
        <v>0.63</v>
      </c>
      <c r="AO50" s="2">
        <v>278.77999999999997</v>
      </c>
      <c r="AP50" s="2">
        <v>0</v>
      </c>
      <c r="AQ50" s="2">
        <v>26.78</v>
      </c>
      <c r="AR50" s="2">
        <v>0</v>
      </c>
      <c r="AS50" s="2">
        <v>0</v>
      </c>
      <c r="AT50" s="2">
        <v>187</v>
      </c>
      <c r="AU50" s="2">
        <v>101</v>
      </c>
      <c r="AV50" s="2">
        <v>1</v>
      </c>
      <c r="AW50" s="2">
        <v>1</v>
      </c>
      <c r="AX50" s="2"/>
      <c r="AY50" s="2"/>
      <c r="AZ50" s="2">
        <v>1</v>
      </c>
      <c r="BA50" s="2">
        <v>1</v>
      </c>
      <c r="BB50" s="2">
        <v>1</v>
      </c>
      <c r="BC50" s="2">
        <v>1</v>
      </c>
      <c r="BD50" s="2" t="s">
        <v>6</v>
      </c>
      <c r="BE50" s="2" t="s">
        <v>6</v>
      </c>
      <c r="BF50" s="2" t="s">
        <v>6</v>
      </c>
      <c r="BG50" s="2" t="s">
        <v>6</v>
      </c>
      <c r="BH50" s="2">
        <v>0</v>
      </c>
      <c r="BI50" s="2">
        <v>1</v>
      </c>
      <c r="BJ50" s="2" t="s">
        <v>28</v>
      </c>
      <c r="BK50" s="2"/>
      <c r="BL50" s="2"/>
      <c r="BM50" s="2">
        <v>295</v>
      </c>
      <c r="BN50" s="2">
        <v>0</v>
      </c>
      <c r="BO50" s="2" t="s">
        <v>6</v>
      </c>
      <c r="BP50" s="2">
        <v>0</v>
      </c>
      <c r="BQ50" s="2">
        <v>30</v>
      </c>
      <c r="BR50" s="2">
        <v>0</v>
      </c>
      <c r="BS50" s="2">
        <v>1</v>
      </c>
      <c r="BT50" s="2">
        <v>1</v>
      </c>
      <c r="BU50" s="2">
        <v>1</v>
      </c>
      <c r="BV50" s="2">
        <v>1</v>
      </c>
      <c r="BW50" s="2">
        <v>1</v>
      </c>
      <c r="BX50" s="2">
        <v>1</v>
      </c>
      <c r="BY50" s="2" t="s">
        <v>6</v>
      </c>
      <c r="BZ50" s="2">
        <v>187</v>
      </c>
      <c r="CA50" s="2">
        <v>101</v>
      </c>
      <c r="CB50" s="2" t="s">
        <v>6</v>
      </c>
      <c r="CC50" s="2"/>
      <c r="CD50" s="2"/>
      <c r="CE50" s="2">
        <v>30</v>
      </c>
      <c r="CF50" s="2">
        <v>0</v>
      </c>
      <c r="CG50" s="2">
        <v>0</v>
      </c>
      <c r="CH50" s="2"/>
      <c r="CI50" s="2"/>
      <c r="CJ50" s="2"/>
      <c r="CK50" s="2"/>
      <c r="CL50" s="2"/>
      <c r="CM50" s="2">
        <v>0</v>
      </c>
      <c r="CN50" s="2" t="s">
        <v>6</v>
      </c>
      <c r="CO50" s="2">
        <v>0</v>
      </c>
      <c r="CP50" s="2">
        <f t="shared" ref="CP50:CP65" si="84">(P50+Q50+S50)</f>
        <v>6397.43</v>
      </c>
      <c r="CQ50" s="2">
        <f t="shared" ref="CQ50:CQ65" si="85">ROUND((ROUND((AC50*AW50*1),2)*BC50),2)</f>
        <v>0</v>
      </c>
      <c r="CR50" s="2">
        <f t="shared" ref="CR50:CR57" si="86">(ROUND((ROUND(((ET50)*AV50*1),2)*BB50),2)+ROUND((ROUND(((AE50-(EU50))*AV50*1),2)*BS50),2))</f>
        <v>5.55</v>
      </c>
      <c r="CS50" s="2">
        <f t="shared" ref="CS50:CS65" si="87">ROUND((ROUND((AE50*AV50*1),2)*BS50),2)</f>
        <v>0.63</v>
      </c>
      <c r="CT50" s="2">
        <f t="shared" ref="CT50:CT65" si="88">ROUND((ROUND((AF50*AV50*1),2)*BA50),2)</f>
        <v>278.77999999999997</v>
      </c>
      <c r="CU50" s="2">
        <f t="shared" ref="CU50:CU65" si="89">AG50</f>
        <v>0</v>
      </c>
      <c r="CV50" s="2">
        <f t="shared" ref="CV50:CV65" si="90">(AH50*AV50)</f>
        <v>26.78</v>
      </c>
      <c r="CW50" s="2">
        <f t="shared" ref="CW50:CW65" si="91">AI50</f>
        <v>0</v>
      </c>
      <c r="CX50" s="2">
        <f t="shared" ref="CX50:CX65" si="92">AJ50</f>
        <v>0</v>
      </c>
      <c r="CY50" s="2">
        <f>((S50*BZ50)/100)</f>
        <v>11729.668500000002</v>
      </c>
      <c r="CZ50" s="2">
        <f>((S50*CA50)/100)</f>
        <v>6335.2755000000006</v>
      </c>
      <c r="DA50" s="2"/>
      <c r="DB50" s="2"/>
      <c r="DC50" s="2" t="s">
        <v>6</v>
      </c>
      <c r="DD50" s="2" t="s">
        <v>6</v>
      </c>
      <c r="DE50" s="2" t="s">
        <v>6</v>
      </c>
      <c r="DF50" s="2" t="s">
        <v>6</v>
      </c>
      <c r="DG50" s="2" t="s">
        <v>6</v>
      </c>
      <c r="DH50" s="2" t="s">
        <v>6</v>
      </c>
      <c r="DI50" s="2" t="s">
        <v>6</v>
      </c>
      <c r="DJ50" s="2" t="s">
        <v>6</v>
      </c>
      <c r="DK50" s="2" t="s">
        <v>6</v>
      </c>
      <c r="DL50" s="2" t="s">
        <v>6</v>
      </c>
      <c r="DM50" s="2" t="s">
        <v>6</v>
      </c>
      <c r="DN50" s="2">
        <v>0</v>
      </c>
      <c r="DO50" s="2">
        <v>0</v>
      </c>
      <c r="DP50" s="2">
        <v>1</v>
      </c>
      <c r="DQ50" s="2">
        <v>1</v>
      </c>
      <c r="DR50" s="2"/>
      <c r="DS50" s="2"/>
      <c r="DT50" s="2"/>
      <c r="DU50" s="2">
        <v>1005</v>
      </c>
      <c r="DV50" s="2" t="s">
        <v>27</v>
      </c>
      <c r="DW50" s="2" t="s">
        <v>27</v>
      </c>
      <c r="DX50" s="2">
        <v>100</v>
      </c>
      <c r="DY50" s="2"/>
      <c r="DZ50" s="2" t="s">
        <v>6</v>
      </c>
      <c r="EA50" s="2" t="s">
        <v>6</v>
      </c>
      <c r="EB50" s="2" t="s">
        <v>6</v>
      </c>
      <c r="EC50" s="2" t="s">
        <v>6</v>
      </c>
      <c r="ED50" s="2"/>
      <c r="EE50" s="2">
        <v>69252920</v>
      </c>
      <c r="EF50" s="2">
        <v>30</v>
      </c>
      <c r="EG50" s="2" t="s">
        <v>29</v>
      </c>
      <c r="EH50" s="2">
        <v>0</v>
      </c>
      <c r="EI50" s="2" t="s">
        <v>6</v>
      </c>
      <c r="EJ50" s="2">
        <v>1</v>
      </c>
      <c r="EK50" s="2">
        <v>295</v>
      </c>
      <c r="EL50" s="2" t="s">
        <v>30</v>
      </c>
      <c r="EM50" s="2" t="s">
        <v>31</v>
      </c>
      <c r="EN50" s="2"/>
      <c r="EO50" s="2" t="s">
        <v>6</v>
      </c>
      <c r="EP50" s="2"/>
      <c r="EQ50" s="2">
        <v>0</v>
      </c>
      <c r="ER50" s="2">
        <v>284.33</v>
      </c>
      <c r="ES50" s="2">
        <v>0</v>
      </c>
      <c r="ET50" s="2">
        <v>5.55</v>
      </c>
      <c r="EU50" s="2">
        <v>0.63</v>
      </c>
      <c r="EV50" s="2">
        <v>278.77999999999997</v>
      </c>
      <c r="EW50" s="2">
        <v>26.78</v>
      </c>
      <c r="EX50" s="2">
        <v>0</v>
      </c>
      <c r="EY50" s="2">
        <v>0</v>
      </c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>
        <v>0</v>
      </c>
      <c r="FR50" s="2">
        <f t="shared" ref="FR50:FR65" si="93">ROUND(IF(BI50=3,GM50,0),2)</f>
        <v>0</v>
      </c>
      <c r="FS50" s="2">
        <v>0</v>
      </c>
      <c r="FT50" s="2"/>
      <c r="FU50" s="2"/>
      <c r="FV50" s="2"/>
      <c r="FW50" s="2"/>
      <c r="FX50" s="2">
        <v>187</v>
      </c>
      <c r="FY50" s="2">
        <v>101</v>
      </c>
      <c r="FZ50" s="2"/>
      <c r="GA50" s="2" t="s">
        <v>6</v>
      </c>
      <c r="GB50" s="2"/>
      <c r="GC50" s="2"/>
      <c r="GD50" s="2">
        <v>0</v>
      </c>
      <c r="GE50" s="2"/>
      <c r="GF50" s="2">
        <v>287506391</v>
      </c>
      <c r="GG50" s="2">
        <v>2</v>
      </c>
      <c r="GH50" s="2">
        <v>1</v>
      </c>
      <c r="GI50" s="2">
        <v>-2</v>
      </c>
      <c r="GJ50" s="2">
        <v>0</v>
      </c>
      <c r="GK50" s="2">
        <f>ROUND(R50*(R12)/100,2)</f>
        <v>24.82</v>
      </c>
      <c r="GL50" s="2">
        <f t="shared" ref="GL50:GL65" si="94">ROUND(IF(AND(BH50=3,BI50=3,FS50&lt;&gt;0),P50,0),2)</f>
        <v>0</v>
      </c>
      <c r="GM50" s="2">
        <f t="shared" ref="GM50:GM65" si="95">ROUND(O50+X50+Y50+GK50,2)+GX50</f>
        <v>24487.200000000001</v>
      </c>
      <c r="GN50" s="2">
        <f t="shared" ref="GN50:GN65" si="96">IF(OR(BI50=0,BI50=1),GM50-GX50,0)</f>
        <v>24487.200000000001</v>
      </c>
      <c r="GO50" s="2">
        <f t="shared" ref="GO50:GO65" si="97">IF(BI50=2,GM50-GX50,0)</f>
        <v>0</v>
      </c>
      <c r="GP50" s="2">
        <f t="shared" ref="GP50:GP65" si="98">IF(BI50=4,GM50-GX50,0)</f>
        <v>0</v>
      </c>
      <c r="GQ50" s="2"/>
      <c r="GR50" s="2">
        <v>0</v>
      </c>
      <c r="GS50" s="2">
        <v>3</v>
      </c>
      <c r="GT50" s="2">
        <v>0</v>
      </c>
      <c r="GU50" s="2" t="s">
        <v>6</v>
      </c>
      <c r="GV50" s="2">
        <f t="shared" ref="GV50:GV57" si="99">ROUND((GT50),6)</f>
        <v>0</v>
      </c>
      <c r="GW50" s="2">
        <v>1</v>
      </c>
      <c r="GX50" s="2">
        <f t="shared" ref="GX50:GX65" si="100">ROUND(HC50*I50,2)</f>
        <v>0</v>
      </c>
      <c r="GY50" s="2"/>
      <c r="GZ50" s="2"/>
      <c r="HA50" s="2">
        <v>0</v>
      </c>
      <c r="HB50" s="2">
        <v>0</v>
      </c>
      <c r="HC50" s="2">
        <f t="shared" ref="HC50:HC65" si="101">GV50*GW50</f>
        <v>0</v>
      </c>
      <c r="HD50" s="2"/>
      <c r="HE50" s="2" t="s">
        <v>6</v>
      </c>
      <c r="HF50" s="2" t="s">
        <v>6</v>
      </c>
      <c r="HG50" s="2"/>
      <c r="HH50" s="2"/>
      <c r="HI50" s="2"/>
      <c r="HJ50" s="2"/>
      <c r="HK50" s="2"/>
      <c r="HL50" s="2"/>
      <c r="HM50" s="2" t="s">
        <v>6</v>
      </c>
      <c r="HN50" s="2" t="s">
        <v>6</v>
      </c>
      <c r="HO50" s="2" t="s">
        <v>6</v>
      </c>
      <c r="HP50" s="2" t="s">
        <v>6</v>
      </c>
      <c r="HQ50" s="2" t="s">
        <v>6</v>
      </c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>
        <v>0</v>
      </c>
      <c r="IL50" s="2"/>
      <c r="IM50" s="2"/>
      <c r="IN50" s="2"/>
      <c r="IO50" s="2"/>
      <c r="IP50" s="2"/>
      <c r="IQ50" s="2"/>
      <c r="IR50" s="2"/>
      <c r="IS50" s="2"/>
      <c r="IT50" s="2"/>
      <c r="IU50" s="2"/>
    </row>
    <row r="51" spans="1:255">
      <c r="A51">
        <v>17</v>
      </c>
      <c r="B51">
        <v>1</v>
      </c>
      <c r="E51" t="s">
        <v>57</v>
      </c>
      <c r="F51" t="s">
        <v>25</v>
      </c>
      <c r="G51" t="s">
        <v>26</v>
      </c>
      <c r="H51" t="s">
        <v>27</v>
      </c>
      <c r="I51">
        <f>ROUND((3000)/100*0.75,9)</f>
        <v>22.5</v>
      </c>
      <c r="J51">
        <v>0</v>
      </c>
      <c r="K51">
        <f>ROUND((3000)/100*0.75,9)</f>
        <v>22.5</v>
      </c>
      <c r="O51">
        <f t="shared" si="66"/>
        <v>294554.42</v>
      </c>
      <c r="P51">
        <f t="shared" si="67"/>
        <v>0</v>
      </c>
      <c r="Q51">
        <f t="shared" si="68"/>
        <v>1814.51</v>
      </c>
      <c r="R51">
        <f t="shared" si="69"/>
        <v>661.78</v>
      </c>
      <c r="S51">
        <f t="shared" si="70"/>
        <v>292739.90999999997</v>
      </c>
      <c r="T51">
        <f t="shared" si="71"/>
        <v>0</v>
      </c>
      <c r="U51">
        <f t="shared" si="72"/>
        <v>602.55000000000007</v>
      </c>
      <c r="V51">
        <f t="shared" si="73"/>
        <v>0</v>
      </c>
      <c r="W51">
        <f t="shared" si="74"/>
        <v>0</v>
      </c>
      <c r="X51">
        <f t="shared" si="75"/>
        <v>307376.90999999997</v>
      </c>
      <c r="Y51">
        <f t="shared" si="76"/>
        <v>140515.16</v>
      </c>
      <c r="AA51">
        <v>70322059</v>
      </c>
      <c r="AB51">
        <f t="shared" si="77"/>
        <v>284.33</v>
      </c>
      <c r="AC51">
        <f t="shared" si="78"/>
        <v>0</v>
      </c>
      <c r="AD51">
        <f t="shared" si="79"/>
        <v>5.55</v>
      </c>
      <c r="AE51">
        <f t="shared" si="80"/>
        <v>0.63</v>
      </c>
      <c r="AF51">
        <f t="shared" si="80"/>
        <v>278.77999999999997</v>
      </c>
      <c r="AG51">
        <f t="shared" si="81"/>
        <v>0</v>
      </c>
      <c r="AH51">
        <f t="shared" si="82"/>
        <v>26.78</v>
      </c>
      <c r="AI51">
        <f t="shared" si="82"/>
        <v>0</v>
      </c>
      <c r="AJ51">
        <f t="shared" si="83"/>
        <v>0</v>
      </c>
      <c r="AK51">
        <v>284.33</v>
      </c>
      <c r="AL51">
        <v>0</v>
      </c>
      <c r="AM51">
        <v>5.55</v>
      </c>
      <c r="AN51">
        <v>0.63</v>
      </c>
      <c r="AO51">
        <v>278.77999999999997</v>
      </c>
      <c r="AP51">
        <v>0</v>
      </c>
      <c r="AQ51">
        <v>26.78</v>
      </c>
      <c r="AR51">
        <v>0</v>
      </c>
      <c r="AS51">
        <v>0</v>
      </c>
      <c r="AT51">
        <v>105</v>
      </c>
      <c r="AU51">
        <v>48</v>
      </c>
      <c r="AV51">
        <v>1</v>
      </c>
      <c r="AW51">
        <v>1</v>
      </c>
      <c r="AZ51">
        <v>1</v>
      </c>
      <c r="BA51">
        <v>46.67</v>
      </c>
      <c r="BB51">
        <v>14.53</v>
      </c>
      <c r="BC51">
        <v>1</v>
      </c>
      <c r="BD51" t="s">
        <v>6</v>
      </c>
      <c r="BE51" t="s">
        <v>6</v>
      </c>
      <c r="BF51" t="s">
        <v>6</v>
      </c>
      <c r="BG51" t="s">
        <v>6</v>
      </c>
      <c r="BH51">
        <v>0</v>
      </c>
      <c r="BI51">
        <v>1</v>
      </c>
      <c r="BJ51" t="s">
        <v>28</v>
      </c>
      <c r="BM51">
        <v>295</v>
      </c>
      <c r="BN51">
        <v>0</v>
      </c>
      <c r="BO51" t="s">
        <v>25</v>
      </c>
      <c r="BP51">
        <v>1</v>
      </c>
      <c r="BQ51">
        <v>30</v>
      </c>
      <c r="BR51">
        <v>0</v>
      </c>
      <c r="BS51">
        <v>46.67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6</v>
      </c>
      <c r="BZ51">
        <v>105</v>
      </c>
      <c r="CA51">
        <v>48</v>
      </c>
      <c r="CB51" t="s">
        <v>6</v>
      </c>
      <c r="CE51">
        <v>30</v>
      </c>
      <c r="CF51">
        <v>0</v>
      </c>
      <c r="CG51">
        <v>0</v>
      </c>
      <c r="CM51">
        <v>0</v>
      </c>
      <c r="CN51" t="s">
        <v>6</v>
      </c>
      <c r="CO51">
        <v>0</v>
      </c>
      <c r="CP51">
        <f t="shared" si="84"/>
        <v>294554.42</v>
      </c>
      <c r="CQ51">
        <f t="shared" si="85"/>
        <v>0</v>
      </c>
      <c r="CR51">
        <f t="shared" si="86"/>
        <v>80.64</v>
      </c>
      <c r="CS51">
        <f t="shared" si="87"/>
        <v>29.4</v>
      </c>
      <c r="CT51">
        <f t="shared" si="88"/>
        <v>13010.66</v>
      </c>
      <c r="CU51">
        <f t="shared" si="89"/>
        <v>0</v>
      </c>
      <c r="CV51">
        <f t="shared" si="90"/>
        <v>26.78</v>
      </c>
      <c r="CW51">
        <f t="shared" si="91"/>
        <v>0</v>
      </c>
      <c r="CX51">
        <f t="shared" si="92"/>
        <v>0</v>
      </c>
      <c r="CY51">
        <f>S51*(BZ51/100)</f>
        <v>307376.90549999999</v>
      </c>
      <c r="CZ51">
        <f>S51*(CA51/100)</f>
        <v>140515.1568</v>
      </c>
      <c r="DC51" t="s">
        <v>6</v>
      </c>
      <c r="DD51" t="s">
        <v>6</v>
      </c>
      <c r="DE51" t="s">
        <v>6</v>
      </c>
      <c r="DF51" t="s">
        <v>6</v>
      </c>
      <c r="DG51" t="s">
        <v>6</v>
      </c>
      <c r="DH51" t="s">
        <v>6</v>
      </c>
      <c r="DI51" t="s">
        <v>6</v>
      </c>
      <c r="DJ51" t="s">
        <v>6</v>
      </c>
      <c r="DK51" t="s">
        <v>6</v>
      </c>
      <c r="DL51" t="s">
        <v>6</v>
      </c>
      <c r="DM51" t="s">
        <v>6</v>
      </c>
      <c r="DN51">
        <v>187</v>
      </c>
      <c r="DO51">
        <v>101</v>
      </c>
      <c r="DP51">
        <v>1</v>
      </c>
      <c r="DQ51">
        <v>1</v>
      </c>
      <c r="DU51">
        <v>1005</v>
      </c>
      <c r="DV51" t="s">
        <v>27</v>
      </c>
      <c r="DW51" t="s">
        <v>27</v>
      </c>
      <c r="DX51">
        <v>100</v>
      </c>
      <c r="DZ51" t="s">
        <v>6</v>
      </c>
      <c r="EA51" t="s">
        <v>6</v>
      </c>
      <c r="EB51" t="s">
        <v>6</v>
      </c>
      <c r="EC51" t="s">
        <v>6</v>
      </c>
      <c r="EE51">
        <v>69252920</v>
      </c>
      <c r="EF51">
        <v>30</v>
      </c>
      <c r="EG51" t="s">
        <v>29</v>
      </c>
      <c r="EH51">
        <v>0</v>
      </c>
      <c r="EI51" t="s">
        <v>6</v>
      </c>
      <c r="EJ51">
        <v>1</v>
      </c>
      <c r="EK51">
        <v>295</v>
      </c>
      <c r="EL51" t="s">
        <v>30</v>
      </c>
      <c r="EM51" t="s">
        <v>31</v>
      </c>
      <c r="EO51" t="s">
        <v>6</v>
      </c>
      <c r="EQ51">
        <v>0</v>
      </c>
      <c r="ER51">
        <v>284.33</v>
      </c>
      <c r="ES51">
        <v>0</v>
      </c>
      <c r="ET51">
        <v>5.55</v>
      </c>
      <c r="EU51">
        <v>0.63</v>
      </c>
      <c r="EV51">
        <v>278.77999999999997</v>
      </c>
      <c r="EW51">
        <v>26.78</v>
      </c>
      <c r="EX51">
        <v>0</v>
      </c>
      <c r="EY51">
        <v>0</v>
      </c>
      <c r="FQ51">
        <v>0</v>
      </c>
      <c r="FR51">
        <f t="shared" si="93"/>
        <v>0</v>
      </c>
      <c r="FS51">
        <v>0</v>
      </c>
      <c r="FX51">
        <v>187</v>
      </c>
      <c r="FY51">
        <v>101</v>
      </c>
      <c r="GA51" t="s">
        <v>6</v>
      </c>
      <c r="GD51">
        <v>0</v>
      </c>
      <c r="GF51">
        <v>287506391</v>
      </c>
      <c r="GG51">
        <v>2</v>
      </c>
      <c r="GH51">
        <v>1</v>
      </c>
      <c r="GI51">
        <v>2</v>
      </c>
      <c r="GJ51">
        <v>0</v>
      </c>
      <c r="GK51">
        <f>ROUND(R51*(S12)/100,2)</f>
        <v>1058.8499999999999</v>
      </c>
      <c r="GL51">
        <f t="shared" si="94"/>
        <v>0</v>
      </c>
      <c r="GM51">
        <f t="shared" si="95"/>
        <v>743505.34</v>
      </c>
      <c r="GN51">
        <f t="shared" si="96"/>
        <v>743505.34</v>
      </c>
      <c r="GO51">
        <f t="shared" si="97"/>
        <v>0</v>
      </c>
      <c r="GP51">
        <f t="shared" si="98"/>
        <v>0</v>
      </c>
      <c r="GR51">
        <v>0</v>
      </c>
      <c r="GS51">
        <v>0</v>
      </c>
      <c r="GT51">
        <v>0</v>
      </c>
      <c r="GU51" t="s">
        <v>6</v>
      </c>
      <c r="GV51">
        <f t="shared" si="99"/>
        <v>0</v>
      </c>
      <c r="GW51">
        <v>1</v>
      </c>
      <c r="GX51">
        <f t="shared" si="100"/>
        <v>0</v>
      </c>
      <c r="HA51">
        <v>0</v>
      </c>
      <c r="HB51">
        <v>0</v>
      </c>
      <c r="HC51">
        <f t="shared" si="101"/>
        <v>0</v>
      </c>
      <c r="HE51" t="s">
        <v>6</v>
      </c>
      <c r="HF51" t="s">
        <v>6</v>
      </c>
      <c r="HM51" t="s">
        <v>6</v>
      </c>
      <c r="HN51" t="s">
        <v>6</v>
      </c>
      <c r="HO51" t="s">
        <v>6</v>
      </c>
      <c r="HP51" t="s">
        <v>6</v>
      </c>
      <c r="HQ51" t="s">
        <v>6</v>
      </c>
      <c r="IK51">
        <v>0</v>
      </c>
    </row>
    <row r="52" spans="1:255">
      <c r="A52" s="2">
        <v>18</v>
      </c>
      <c r="B52" s="2">
        <v>1</v>
      </c>
      <c r="C52" s="2"/>
      <c r="D52" s="2"/>
      <c r="E52" s="2" t="s">
        <v>58</v>
      </c>
      <c r="F52" s="2" t="s">
        <v>33</v>
      </c>
      <c r="G52" s="2" t="s">
        <v>34</v>
      </c>
      <c r="H52" s="2" t="s">
        <v>35</v>
      </c>
      <c r="I52" s="2">
        <f>I50*J52</f>
        <v>337.5</v>
      </c>
      <c r="J52" s="2">
        <v>15</v>
      </c>
      <c r="K52" s="2">
        <v>15</v>
      </c>
      <c r="L52" s="2"/>
      <c r="M52" s="2"/>
      <c r="N52" s="2"/>
      <c r="O52" s="2">
        <f t="shared" si="66"/>
        <v>49558.5</v>
      </c>
      <c r="P52" s="2">
        <f t="shared" si="67"/>
        <v>49558.5</v>
      </c>
      <c r="Q52" s="2">
        <f t="shared" si="68"/>
        <v>0</v>
      </c>
      <c r="R52" s="2">
        <f t="shared" si="69"/>
        <v>0</v>
      </c>
      <c r="S52" s="2">
        <f t="shared" si="70"/>
        <v>0</v>
      </c>
      <c r="T52" s="2">
        <f t="shared" si="71"/>
        <v>0</v>
      </c>
      <c r="U52" s="2">
        <f t="shared" si="72"/>
        <v>0</v>
      </c>
      <c r="V52" s="2">
        <f t="shared" si="73"/>
        <v>0</v>
      </c>
      <c r="W52" s="2">
        <f t="shared" si="74"/>
        <v>0</v>
      </c>
      <c r="X52" s="2">
        <f t="shared" si="75"/>
        <v>0</v>
      </c>
      <c r="Y52" s="2">
        <f t="shared" si="76"/>
        <v>0</v>
      </c>
      <c r="Z52" s="2"/>
      <c r="AA52" s="2">
        <v>70322058</v>
      </c>
      <c r="AB52" s="2">
        <f t="shared" si="77"/>
        <v>146.84</v>
      </c>
      <c r="AC52" s="2">
        <f t="shared" si="78"/>
        <v>146.84</v>
      </c>
      <c r="AD52" s="2">
        <f t="shared" si="79"/>
        <v>0</v>
      </c>
      <c r="AE52" s="2">
        <f t="shared" si="80"/>
        <v>0</v>
      </c>
      <c r="AF52" s="2">
        <f t="shared" si="80"/>
        <v>0</v>
      </c>
      <c r="AG52" s="2">
        <f t="shared" si="81"/>
        <v>0</v>
      </c>
      <c r="AH52" s="2">
        <f t="shared" si="82"/>
        <v>0</v>
      </c>
      <c r="AI52" s="2">
        <f t="shared" si="82"/>
        <v>0</v>
      </c>
      <c r="AJ52" s="2">
        <f t="shared" si="83"/>
        <v>0</v>
      </c>
      <c r="AK52" s="2">
        <v>146.84</v>
      </c>
      <c r="AL52" s="2">
        <v>146.84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187</v>
      </c>
      <c r="AU52" s="2">
        <v>101</v>
      </c>
      <c r="AV52" s="2">
        <v>1</v>
      </c>
      <c r="AW52" s="2">
        <v>1</v>
      </c>
      <c r="AX52" s="2"/>
      <c r="AY52" s="2"/>
      <c r="AZ52" s="2">
        <v>1</v>
      </c>
      <c r="BA52" s="2">
        <v>1</v>
      </c>
      <c r="BB52" s="2">
        <v>1</v>
      </c>
      <c r="BC52" s="2">
        <v>1</v>
      </c>
      <c r="BD52" s="2" t="s">
        <v>6</v>
      </c>
      <c r="BE52" s="2" t="s">
        <v>6</v>
      </c>
      <c r="BF52" s="2" t="s">
        <v>6</v>
      </c>
      <c r="BG52" s="2" t="s">
        <v>6</v>
      </c>
      <c r="BH52" s="2">
        <v>3</v>
      </c>
      <c r="BI52" s="2">
        <v>1</v>
      </c>
      <c r="BJ52" s="2" t="s">
        <v>36</v>
      </c>
      <c r="BK52" s="2"/>
      <c r="BL52" s="2"/>
      <c r="BM52" s="2">
        <v>295</v>
      </c>
      <c r="BN52" s="2">
        <v>0</v>
      </c>
      <c r="BO52" s="2" t="s">
        <v>6</v>
      </c>
      <c r="BP52" s="2">
        <v>0</v>
      </c>
      <c r="BQ52" s="2">
        <v>30</v>
      </c>
      <c r="BR52" s="2">
        <v>0</v>
      </c>
      <c r="BS52" s="2">
        <v>1</v>
      </c>
      <c r="BT52" s="2">
        <v>1</v>
      </c>
      <c r="BU52" s="2">
        <v>1</v>
      </c>
      <c r="BV52" s="2">
        <v>1</v>
      </c>
      <c r="BW52" s="2">
        <v>1</v>
      </c>
      <c r="BX52" s="2">
        <v>1</v>
      </c>
      <c r="BY52" s="2" t="s">
        <v>6</v>
      </c>
      <c r="BZ52" s="2">
        <v>187</v>
      </c>
      <c r="CA52" s="2">
        <v>101</v>
      </c>
      <c r="CB52" s="2" t="s">
        <v>6</v>
      </c>
      <c r="CC52" s="2"/>
      <c r="CD52" s="2"/>
      <c r="CE52" s="2">
        <v>30</v>
      </c>
      <c r="CF52" s="2">
        <v>0</v>
      </c>
      <c r="CG52" s="2">
        <v>0</v>
      </c>
      <c r="CH52" s="2"/>
      <c r="CI52" s="2"/>
      <c r="CJ52" s="2"/>
      <c r="CK52" s="2"/>
      <c r="CL52" s="2"/>
      <c r="CM52" s="2">
        <v>0</v>
      </c>
      <c r="CN52" s="2" t="s">
        <v>6</v>
      </c>
      <c r="CO52" s="2">
        <v>0</v>
      </c>
      <c r="CP52" s="2">
        <f t="shared" si="84"/>
        <v>49558.5</v>
      </c>
      <c r="CQ52" s="2">
        <f t="shared" si="85"/>
        <v>146.84</v>
      </c>
      <c r="CR52" s="2">
        <f t="shared" si="86"/>
        <v>0</v>
      </c>
      <c r="CS52" s="2">
        <f t="shared" si="87"/>
        <v>0</v>
      </c>
      <c r="CT52" s="2">
        <f t="shared" si="88"/>
        <v>0</v>
      </c>
      <c r="CU52" s="2">
        <f t="shared" si="89"/>
        <v>0</v>
      </c>
      <c r="CV52" s="2">
        <f t="shared" si="90"/>
        <v>0</v>
      </c>
      <c r="CW52" s="2">
        <f t="shared" si="91"/>
        <v>0</v>
      </c>
      <c r="CX52" s="2">
        <f t="shared" si="92"/>
        <v>0</v>
      </c>
      <c r="CY52" s="2">
        <f>((S52*BZ52)/100)</f>
        <v>0</v>
      </c>
      <c r="CZ52" s="2">
        <f>((S52*CA52)/100)</f>
        <v>0</v>
      </c>
      <c r="DA52" s="2"/>
      <c r="DB52" s="2"/>
      <c r="DC52" s="2" t="s">
        <v>6</v>
      </c>
      <c r="DD52" s="2" t="s">
        <v>6</v>
      </c>
      <c r="DE52" s="2" t="s">
        <v>6</v>
      </c>
      <c r="DF52" s="2" t="s">
        <v>6</v>
      </c>
      <c r="DG52" s="2" t="s">
        <v>6</v>
      </c>
      <c r="DH52" s="2" t="s">
        <v>6</v>
      </c>
      <c r="DI52" s="2" t="s">
        <v>6</v>
      </c>
      <c r="DJ52" s="2" t="s">
        <v>6</v>
      </c>
      <c r="DK52" s="2" t="s">
        <v>6</v>
      </c>
      <c r="DL52" s="2" t="s">
        <v>6</v>
      </c>
      <c r="DM52" s="2" t="s">
        <v>6</v>
      </c>
      <c r="DN52" s="2">
        <v>0</v>
      </c>
      <c r="DO52" s="2">
        <v>0</v>
      </c>
      <c r="DP52" s="2">
        <v>1</v>
      </c>
      <c r="DQ52" s="2">
        <v>1</v>
      </c>
      <c r="DR52" s="2"/>
      <c r="DS52" s="2"/>
      <c r="DT52" s="2"/>
      <c r="DU52" s="2">
        <v>1007</v>
      </c>
      <c r="DV52" s="2" t="s">
        <v>35</v>
      </c>
      <c r="DW52" s="2" t="s">
        <v>35</v>
      </c>
      <c r="DX52" s="2">
        <v>1</v>
      </c>
      <c r="DY52" s="2"/>
      <c r="DZ52" s="2" t="s">
        <v>6</v>
      </c>
      <c r="EA52" s="2" t="s">
        <v>6</v>
      </c>
      <c r="EB52" s="2" t="s">
        <v>6</v>
      </c>
      <c r="EC52" s="2" t="s">
        <v>6</v>
      </c>
      <c r="ED52" s="2"/>
      <c r="EE52" s="2">
        <v>69252920</v>
      </c>
      <c r="EF52" s="2">
        <v>30</v>
      </c>
      <c r="EG52" s="2" t="s">
        <v>29</v>
      </c>
      <c r="EH52" s="2">
        <v>0</v>
      </c>
      <c r="EI52" s="2" t="s">
        <v>6</v>
      </c>
      <c r="EJ52" s="2">
        <v>1</v>
      </c>
      <c r="EK52" s="2">
        <v>295</v>
      </c>
      <c r="EL52" s="2" t="s">
        <v>30</v>
      </c>
      <c r="EM52" s="2" t="s">
        <v>31</v>
      </c>
      <c r="EN52" s="2"/>
      <c r="EO52" s="2" t="s">
        <v>6</v>
      </c>
      <c r="EP52" s="2"/>
      <c r="EQ52" s="2">
        <v>0</v>
      </c>
      <c r="ER52" s="2">
        <v>146.84</v>
      </c>
      <c r="ES52" s="2">
        <v>146.84</v>
      </c>
      <c r="ET52" s="2">
        <v>0</v>
      </c>
      <c r="EU52" s="2">
        <v>0</v>
      </c>
      <c r="EV52" s="2">
        <v>0</v>
      </c>
      <c r="EW52" s="2">
        <v>0</v>
      </c>
      <c r="EX52" s="2">
        <v>0</v>
      </c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>
        <v>0</v>
      </c>
      <c r="FR52" s="2">
        <f t="shared" si="93"/>
        <v>0</v>
      </c>
      <c r="FS52" s="2">
        <v>0</v>
      </c>
      <c r="FT52" s="2"/>
      <c r="FU52" s="2"/>
      <c r="FV52" s="2"/>
      <c r="FW52" s="2"/>
      <c r="FX52" s="2">
        <v>187</v>
      </c>
      <c r="FY52" s="2">
        <v>101</v>
      </c>
      <c r="FZ52" s="2"/>
      <c r="GA52" s="2" t="s">
        <v>6</v>
      </c>
      <c r="GB52" s="2"/>
      <c r="GC52" s="2"/>
      <c r="GD52" s="2">
        <v>0</v>
      </c>
      <c r="GE52" s="2"/>
      <c r="GF52" s="2">
        <v>331308664</v>
      </c>
      <c r="GG52" s="2">
        <v>2</v>
      </c>
      <c r="GH52" s="2">
        <v>1</v>
      </c>
      <c r="GI52" s="2">
        <v>-2</v>
      </c>
      <c r="GJ52" s="2">
        <v>0</v>
      </c>
      <c r="GK52" s="2">
        <f>ROUND(R52*(R12)/100,2)</f>
        <v>0</v>
      </c>
      <c r="GL52" s="2">
        <f t="shared" si="94"/>
        <v>0</v>
      </c>
      <c r="GM52" s="2">
        <f t="shared" si="95"/>
        <v>49558.5</v>
      </c>
      <c r="GN52" s="2">
        <f t="shared" si="96"/>
        <v>49558.5</v>
      </c>
      <c r="GO52" s="2">
        <f t="shared" si="97"/>
        <v>0</v>
      </c>
      <c r="GP52" s="2">
        <f t="shared" si="98"/>
        <v>0</v>
      </c>
      <c r="GQ52" s="2"/>
      <c r="GR52" s="2">
        <v>0</v>
      </c>
      <c r="GS52" s="2">
        <v>3</v>
      </c>
      <c r="GT52" s="2">
        <v>0</v>
      </c>
      <c r="GU52" s="2" t="s">
        <v>6</v>
      </c>
      <c r="GV52" s="2">
        <f t="shared" si="99"/>
        <v>0</v>
      </c>
      <c r="GW52" s="2">
        <v>1</v>
      </c>
      <c r="GX52" s="2">
        <f t="shared" si="100"/>
        <v>0</v>
      </c>
      <c r="GY52" s="2"/>
      <c r="GZ52" s="2"/>
      <c r="HA52" s="2">
        <v>0</v>
      </c>
      <c r="HB52" s="2">
        <v>0</v>
      </c>
      <c r="HC52" s="2">
        <f t="shared" si="101"/>
        <v>0</v>
      </c>
      <c r="HD52" s="2"/>
      <c r="HE52" s="2" t="s">
        <v>6</v>
      </c>
      <c r="HF52" s="2" t="s">
        <v>6</v>
      </c>
      <c r="HG52" s="2"/>
      <c r="HH52" s="2"/>
      <c r="HI52" s="2"/>
      <c r="HJ52" s="2"/>
      <c r="HK52" s="2"/>
      <c r="HL52" s="2"/>
      <c r="HM52" s="2" t="s">
        <v>6</v>
      </c>
      <c r="HN52" s="2" t="s">
        <v>6</v>
      </c>
      <c r="HO52" s="2" t="s">
        <v>6</v>
      </c>
      <c r="HP52" s="2" t="s">
        <v>6</v>
      </c>
      <c r="HQ52" s="2" t="s">
        <v>6</v>
      </c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>
        <v>0</v>
      </c>
      <c r="IL52" s="2"/>
      <c r="IM52" s="2"/>
      <c r="IN52" s="2"/>
      <c r="IO52" s="2"/>
      <c r="IP52" s="2"/>
      <c r="IQ52" s="2"/>
      <c r="IR52" s="2"/>
      <c r="IS52" s="2"/>
      <c r="IT52" s="2"/>
      <c r="IU52" s="2"/>
    </row>
    <row r="53" spans="1:255">
      <c r="A53">
        <v>18</v>
      </c>
      <c r="B53">
        <v>1</v>
      </c>
      <c r="E53" t="s">
        <v>58</v>
      </c>
      <c r="F53" t="s">
        <v>33</v>
      </c>
      <c r="G53" t="s">
        <v>34</v>
      </c>
      <c r="H53" t="s">
        <v>35</v>
      </c>
      <c r="I53">
        <f>I51*J53</f>
        <v>337.5</v>
      </c>
      <c r="J53">
        <v>15</v>
      </c>
      <c r="K53">
        <v>15</v>
      </c>
      <c r="O53">
        <f t="shared" si="66"/>
        <v>387051.89</v>
      </c>
      <c r="P53">
        <f t="shared" si="67"/>
        <v>387051.89</v>
      </c>
      <c r="Q53">
        <f t="shared" si="68"/>
        <v>0</v>
      </c>
      <c r="R53">
        <f t="shared" si="69"/>
        <v>0</v>
      </c>
      <c r="S53">
        <f t="shared" si="70"/>
        <v>0</v>
      </c>
      <c r="T53">
        <f t="shared" si="71"/>
        <v>0</v>
      </c>
      <c r="U53">
        <f t="shared" si="72"/>
        <v>0</v>
      </c>
      <c r="V53">
        <f t="shared" si="73"/>
        <v>0</v>
      </c>
      <c r="W53">
        <f t="shared" si="74"/>
        <v>0</v>
      </c>
      <c r="X53">
        <f t="shared" si="75"/>
        <v>0</v>
      </c>
      <c r="Y53">
        <f t="shared" si="76"/>
        <v>0</v>
      </c>
      <c r="AA53">
        <v>70322059</v>
      </c>
      <c r="AB53">
        <f t="shared" si="77"/>
        <v>146.84</v>
      </c>
      <c r="AC53">
        <f t="shared" si="78"/>
        <v>146.84</v>
      </c>
      <c r="AD53">
        <f t="shared" si="79"/>
        <v>0</v>
      </c>
      <c r="AE53">
        <f t="shared" si="80"/>
        <v>0</v>
      </c>
      <c r="AF53">
        <f t="shared" si="80"/>
        <v>0</v>
      </c>
      <c r="AG53">
        <f t="shared" si="81"/>
        <v>0</v>
      </c>
      <c r="AH53">
        <f t="shared" si="82"/>
        <v>0</v>
      </c>
      <c r="AI53">
        <f t="shared" si="82"/>
        <v>0</v>
      </c>
      <c r="AJ53">
        <f t="shared" si="83"/>
        <v>0</v>
      </c>
      <c r="AK53">
        <v>146.84</v>
      </c>
      <c r="AL53">
        <v>146.84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7.81</v>
      </c>
      <c r="BD53" t="s">
        <v>6</v>
      </c>
      <c r="BE53" t="s">
        <v>6</v>
      </c>
      <c r="BF53" t="s">
        <v>6</v>
      </c>
      <c r="BG53" t="s">
        <v>6</v>
      </c>
      <c r="BH53">
        <v>3</v>
      </c>
      <c r="BI53">
        <v>1</v>
      </c>
      <c r="BJ53" t="s">
        <v>36</v>
      </c>
      <c r="BM53">
        <v>295</v>
      </c>
      <c r="BN53">
        <v>0</v>
      </c>
      <c r="BO53" t="s">
        <v>33</v>
      </c>
      <c r="BP53">
        <v>1</v>
      </c>
      <c r="BQ53">
        <v>30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6</v>
      </c>
      <c r="BZ53">
        <v>0</v>
      </c>
      <c r="CA53">
        <v>0</v>
      </c>
      <c r="CB53" t="s">
        <v>6</v>
      </c>
      <c r="CE53">
        <v>30</v>
      </c>
      <c r="CF53">
        <v>0</v>
      </c>
      <c r="CG53">
        <v>0</v>
      </c>
      <c r="CM53">
        <v>0</v>
      </c>
      <c r="CN53" t="s">
        <v>6</v>
      </c>
      <c r="CO53">
        <v>0</v>
      </c>
      <c r="CP53">
        <f t="shared" si="84"/>
        <v>387051.89</v>
      </c>
      <c r="CQ53">
        <f t="shared" si="85"/>
        <v>1146.82</v>
      </c>
      <c r="CR53">
        <f t="shared" si="86"/>
        <v>0</v>
      </c>
      <c r="CS53">
        <f t="shared" si="87"/>
        <v>0</v>
      </c>
      <c r="CT53">
        <f t="shared" si="88"/>
        <v>0</v>
      </c>
      <c r="CU53">
        <f t="shared" si="89"/>
        <v>0</v>
      </c>
      <c r="CV53">
        <f t="shared" si="90"/>
        <v>0</v>
      </c>
      <c r="CW53">
        <f t="shared" si="91"/>
        <v>0</v>
      </c>
      <c r="CX53">
        <f t="shared" si="92"/>
        <v>0</v>
      </c>
      <c r="CY53">
        <f>S53*(BZ53/100)</f>
        <v>0</v>
      </c>
      <c r="CZ53">
        <f>S53*(CA53/100)</f>
        <v>0</v>
      </c>
      <c r="DC53" t="s">
        <v>6</v>
      </c>
      <c r="DD53" t="s">
        <v>6</v>
      </c>
      <c r="DE53" t="s">
        <v>6</v>
      </c>
      <c r="DF53" t="s">
        <v>6</v>
      </c>
      <c r="DG53" t="s">
        <v>6</v>
      </c>
      <c r="DH53" t="s">
        <v>6</v>
      </c>
      <c r="DI53" t="s">
        <v>6</v>
      </c>
      <c r="DJ53" t="s">
        <v>6</v>
      </c>
      <c r="DK53" t="s">
        <v>6</v>
      </c>
      <c r="DL53" t="s">
        <v>6</v>
      </c>
      <c r="DM53" t="s">
        <v>6</v>
      </c>
      <c r="DN53">
        <v>187</v>
      </c>
      <c r="DO53">
        <v>101</v>
      </c>
      <c r="DP53">
        <v>1</v>
      </c>
      <c r="DQ53">
        <v>1</v>
      </c>
      <c r="DU53">
        <v>1007</v>
      </c>
      <c r="DV53" t="s">
        <v>35</v>
      </c>
      <c r="DW53" t="s">
        <v>35</v>
      </c>
      <c r="DX53">
        <v>1</v>
      </c>
      <c r="DZ53" t="s">
        <v>6</v>
      </c>
      <c r="EA53" t="s">
        <v>6</v>
      </c>
      <c r="EB53" t="s">
        <v>6</v>
      </c>
      <c r="EC53" t="s">
        <v>6</v>
      </c>
      <c r="EE53">
        <v>69252920</v>
      </c>
      <c r="EF53">
        <v>30</v>
      </c>
      <c r="EG53" t="s">
        <v>29</v>
      </c>
      <c r="EH53">
        <v>0</v>
      </c>
      <c r="EI53" t="s">
        <v>6</v>
      </c>
      <c r="EJ53">
        <v>1</v>
      </c>
      <c r="EK53">
        <v>295</v>
      </c>
      <c r="EL53" t="s">
        <v>30</v>
      </c>
      <c r="EM53" t="s">
        <v>31</v>
      </c>
      <c r="EO53" t="s">
        <v>6</v>
      </c>
      <c r="EQ53">
        <v>0</v>
      </c>
      <c r="ER53">
        <v>146.84</v>
      </c>
      <c r="ES53">
        <v>146.84</v>
      </c>
      <c r="ET53">
        <v>0</v>
      </c>
      <c r="EU53">
        <v>0</v>
      </c>
      <c r="EV53">
        <v>0</v>
      </c>
      <c r="EW53">
        <v>0</v>
      </c>
      <c r="EX53">
        <v>0</v>
      </c>
      <c r="FQ53">
        <v>0</v>
      </c>
      <c r="FR53">
        <f t="shared" si="93"/>
        <v>0</v>
      </c>
      <c r="FS53">
        <v>0</v>
      </c>
      <c r="FX53">
        <v>187</v>
      </c>
      <c r="FY53">
        <v>101</v>
      </c>
      <c r="GA53" t="s">
        <v>6</v>
      </c>
      <c r="GD53">
        <v>0</v>
      </c>
      <c r="GF53">
        <v>331308664</v>
      </c>
      <c r="GG53">
        <v>2</v>
      </c>
      <c r="GH53">
        <v>1</v>
      </c>
      <c r="GI53">
        <v>2</v>
      </c>
      <c r="GJ53">
        <v>0</v>
      </c>
      <c r="GK53">
        <f>ROUND(R53*(S12)/100,2)</f>
        <v>0</v>
      </c>
      <c r="GL53">
        <f t="shared" si="94"/>
        <v>0</v>
      </c>
      <c r="GM53">
        <f t="shared" si="95"/>
        <v>387051.89</v>
      </c>
      <c r="GN53">
        <f t="shared" si="96"/>
        <v>387051.89</v>
      </c>
      <c r="GO53">
        <f t="shared" si="97"/>
        <v>0</v>
      </c>
      <c r="GP53">
        <f t="shared" si="98"/>
        <v>0</v>
      </c>
      <c r="GR53">
        <v>0</v>
      </c>
      <c r="GS53">
        <v>0</v>
      </c>
      <c r="GT53">
        <v>0</v>
      </c>
      <c r="GU53" t="s">
        <v>6</v>
      </c>
      <c r="GV53">
        <f t="shared" si="99"/>
        <v>0</v>
      </c>
      <c r="GW53">
        <v>1</v>
      </c>
      <c r="GX53">
        <f t="shared" si="100"/>
        <v>0</v>
      </c>
      <c r="HA53">
        <v>0</v>
      </c>
      <c r="HB53">
        <v>0</v>
      </c>
      <c r="HC53">
        <f t="shared" si="101"/>
        <v>0</v>
      </c>
      <c r="HE53" t="s">
        <v>6</v>
      </c>
      <c r="HF53" t="s">
        <v>6</v>
      </c>
      <c r="HM53" t="s">
        <v>6</v>
      </c>
      <c r="HN53" t="s">
        <v>6</v>
      </c>
      <c r="HO53" t="s">
        <v>6</v>
      </c>
      <c r="HP53" t="s">
        <v>6</v>
      </c>
      <c r="HQ53" t="s">
        <v>6</v>
      </c>
      <c r="IK53">
        <v>0</v>
      </c>
    </row>
    <row r="54" spans="1:255">
      <c r="A54" s="2">
        <v>17</v>
      </c>
      <c r="B54" s="2">
        <v>1</v>
      </c>
      <c r="C54" s="2"/>
      <c r="D54" s="2"/>
      <c r="E54" s="2" t="s">
        <v>59</v>
      </c>
      <c r="F54" s="2" t="s">
        <v>38</v>
      </c>
      <c r="G54" s="2" t="s">
        <v>39</v>
      </c>
      <c r="H54" s="2" t="s">
        <v>27</v>
      </c>
      <c r="I54" s="2">
        <f>ROUND((3000)/100*0.25,9)</f>
        <v>7.5</v>
      </c>
      <c r="J54" s="2">
        <v>0</v>
      </c>
      <c r="K54" s="2">
        <f>ROUND((3000)/100*0.25,9)</f>
        <v>7.5</v>
      </c>
      <c r="L54" s="2"/>
      <c r="M54" s="2"/>
      <c r="N54" s="2"/>
      <c r="O54" s="2">
        <f t="shared" si="66"/>
        <v>3123</v>
      </c>
      <c r="P54" s="2">
        <f t="shared" si="67"/>
        <v>0</v>
      </c>
      <c r="Q54" s="2">
        <f t="shared" si="68"/>
        <v>0</v>
      </c>
      <c r="R54" s="2">
        <f t="shared" si="69"/>
        <v>0</v>
      </c>
      <c r="S54" s="2">
        <f t="shared" si="70"/>
        <v>3123</v>
      </c>
      <c r="T54" s="2">
        <f t="shared" si="71"/>
        <v>0</v>
      </c>
      <c r="U54" s="2">
        <f t="shared" si="72"/>
        <v>300</v>
      </c>
      <c r="V54" s="2">
        <f t="shared" si="73"/>
        <v>0</v>
      </c>
      <c r="W54" s="2">
        <f t="shared" si="74"/>
        <v>0</v>
      </c>
      <c r="X54" s="2">
        <f t="shared" si="75"/>
        <v>5840.01</v>
      </c>
      <c r="Y54" s="2">
        <f t="shared" si="76"/>
        <v>3154.23</v>
      </c>
      <c r="Z54" s="2"/>
      <c r="AA54" s="2">
        <v>70322058</v>
      </c>
      <c r="AB54" s="2">
        <f t="shared" si="77"/>
        <v>416.4</v>
      </c>
      <c r="AC54" s="2">
        <f t="shared" si="78"/>
        <v>0</v>
      </c>
      <c r="AD54" s="2">
        <f t="shared" si="79"/>
        <v>0</v>
      </c>
      <c r="AE54" s="2">
        <f t="shared" si="80"/>
        <v>0</v>
      </c>
      <c r="AF54" s="2">
        <f t="shared" si="80"/>
        <v>416.4</v>
      </c>
      <c r="AG54" s="2">
        <f t="shared" si="81"/>
        <v>0</v>
      </c>
      <c r="AH54" s="2">
        <f t="shared" si="82"/>
        <v>40</v>
      </c>
      <c r="AI54" s="2">
        <f t="shared" si="82"/>
        <v>0</v>
      </c>
      <c r="AJ54" s="2">
        <f t="shared" si="83"/>
        <v>0</v>
      </c>
      <c r="AK54" s="2">
        <v>416.4</v>
      </c>
      <c r="AL54" s="2">
        <v>0</v>
      </c>
      <c r="AM54" s="2">
        <v>0</v>
      </c>
      <c r="AN54" s="2">
        <v>0</v>
      </c>
      <c r="AO54" s="2">
        <v>416.4</v>
      </c>
      <c r="AP54" s="2">
        <v>0</v>
      </c>
      <c r="AQ54" s="2">
        <v>40</v>
      </c>
      <c r="AR54" s="2">
        <v>0</v>
      </c>
      <c r="AS54" s="2">
        <v>0</v>
      </c>
      <c r="AT54" s="2">
        <v>187</v>
      </c>
      <c r="AU54" s="2">
        <v>101</v>
      </c>
      <c r="AV54" s="2">
        <v>1</v>
      </c>
      <c r="AW54" s="2">
        <v>1</v>
      </c>
      <c r="AX54" s="2"/>
      <c r="AY54" s="2"/>
      <c r="AZ54" s="2">
        <v>1</v>
      </c>
      <c r="BA54" s="2">
        <v>1</v>
      </c>
      <c r="BB54" s="2">
        <v>1</v>
      </c>
      <c r="BC54" s="2">
        <v>1</v>
      </c>
      <c r="BD54" s="2" t="s">
        <v>6</v>
      </c>
      <c r="BE54" s="2" t="s">
        <v>6</v>
      </c>
      <c r="BF54" s="2" t="s">
        <v>6</v>
      </c>
      <c r="BG54" s="2" t="s">
        <v>6</v>
      </c>
      <c r="BH54" s="2">
        <v>0</v>
      </c>
      <c r="BI54" s="2">
        <v>1</v>
      </c>
      <c r="BJ54" s="2" t="s">
        <v>40</v>
      </c>
      <c r="BK54" s="2"/>
      <c r="BL54" s="2"/>
      <c r="BM54" s="2">
        <v>295</v>
      </c>
      <c r="BN54" s="2">
        <v>0</v>
      </c>
      <c r="BO54" s="2" t="s">
        <v>6</v>
      </c>
      <c r="BP54" s="2">
        <v>0</v>
      </c>
      <c r="BQ54" s="2">
        <v>30</v>
      </c>
      <c r="BR54" s="2">
        <v>0</v>
      </c>
      <c r="BS54" s="2">
        <v>1</v>
      </c>
      <c r="BT54" s="2">
        <v>1</v>
      </c>
      <c r="BU54" s="2">
        <v>1</v>
      </c>
      <c r="BV54" s="2">
        <v>1</v>
      </c>
      <c r="BW54" s="2">
        <v>1</v>
      </c>
      <c r="BX54" s="2">
        <v>1</v>
      </c>
      <c r="BY54" s="2" t="s">
        <v>6</v>
      </c>
      <c r="BZ54" s="2">
        <v>187</v>
      </c>
      <c r="CA54" s="2">
        <v>101</v>
      </c>
      <c r="CB54" s="2" t="s">
        <v>6</v>
      </c>
      <c r="CC54" s="2"/>
      <c r="CD54" s="2"/>
      <c r="CE54" s="2">
        <v>30</v>
      </c>
      <c r="CF54" s="2">
        <v>0</v>
      </c>
      <c r="CG54" s="2">
        <v>0</v>
      </c>
      <c r="CH54" s="2"/>
      <c r="CI54" s="2"/>
      <c r="CJ54" s="2"/>
      <c r="CK54" s="2"/>
      <c r="CL54" s="2"/>
      <c r="CM54" s="2">
        <v>0</v>
      </c>
      <c r="CN54" s="2" t="s">
        <v>6</v>
      </c>
      <c r="CO54" s="2">
        <v>0</v>
      </c>
      <c r="CP54" s="2">
        <f t="shared" si="84"/>
        <v>3123</v>
      </c>
      <c r="CQ54" s="2">
        <f t="shared" si="85"/>
        <v>0</v>
      </c>
      <c r="CR54" s="2">
        <f t="shared" si="86"/>
        <v>0</v>
      </c>
      <c r="CS54" s="2">
        <f t="shared" si="87"/>
        <v>0</v>
      </c>
      <c r="CT54" s="2">
        <f t="shared" si="88"/>
        <v>416.4</v>
      </c>
      <c r="CU54" s="2">
        <f t="shared" si="89"/>
        <v>0</v>
      </c>
      <c r="CV54" s="2">
        <f t="shared" si="90"/>
        <v>40</v>
      </c>
      <c r="CW54" s="2">
        <f t="shared" si="91"/>
        <v>0</v>
      </c>
      <c r="CX54" s="2">
        <f t="shared" si="92"/>
        <v>0</v>
      </c>
      <c r="CY54" s="2">
        <f>((S54*BZ54)/100)</f>
        <v>5840.01</v>
      </c>
      <c r="CZ54" s="2">
        <f>((S54*CA54)/100)</f>
        <v>3154.23</v>
      </c>
      <c r="DA54" s="2"/>
      <c r="DB54" s="2"/>
      <c r="DC54" s="2" t="s">
        <v>6</v>
      </c>
      <c r="DD54" s="2" t="s">
        <v>6</v>
      </c>
      <c r="DE54" s="2" t="s">
        <v>6</v>
      </c>
      <c r="DF54" s="2" t="s">
        <v>6</v>
      </c>
      <c r="DG54" s="2" t="s">
        <v>6</v>
      </c>
      <c r="DH54" s="2" t="s">
        <v>6</v>
      </c>
      <c r="DI54" s="2" t="s">
        <v>6</v>
      </c>
      <c r="DJ54" s="2" t="s">
        <v>6</v>
      </c>
      <c r="DK54" s="2" t="s">
        <v>6</v>
      </c>
      <c r="DL54" s="2" t="s">
        <v>6</v>
      </c>
      <c r="DM54" s="2" t="s">
        <v>6</v>
      </c>
      <c r="DN54" s="2">
        <v>0</v>
      </c>
      <c r="DO54" s="2">
        <v>0</v>
      </c>
      <c r="DP54" s="2">
        <v>1</v>
      </c>
      <c r="DQ54" s="2">
        <v>1</v>
      </c>
      <c r="DR54" s="2"/>
      <c r="DS54" s="2"/>
      <c r="DT54" s="2"/>
      <c r="DU54" s="2">
        <v>1005</v>
      </c>
      <c r="DV54" s="2" t="s">
        <v>27</v>
      </c>
      <c r="DW54" s="2" t="s">
        <v>27</v>
      </c>
      <c r="DX54" s="2">
        <v>100</v>
      </c>
      <c r="DY54" s="2"/>
      <c r="DZ54" s="2" t="s">
        <v>6</v>
      </c>
      <c r="EA54" s="2" t="s">
        <v>6</v>
      </c>
      <c r="EB54" s="2" t="s">
        <v>6</v>
      </c>
      <c r="EC54" s="2" t="s">
        <v>6</v>
      </c>
      <c r="ED54" s="2"/>
      <c r="EE54" s="2">
        <v>69252920</v>
      </c>
      <c r="EF54" s="2">
        <v>30</v>
      </c>
      <c r="EG54" s="2" t="s">
        <v>29</v>
      </c>
      <c r="EH54" s="2">
        <v>0</v>
      </c>
      <c r="EI54" s="2" t="s">
        <v>6</v>
      </c>
      <c r="EJ54" s="2">
        <v>1</v>
      </c>
      <c r="EK54" s="2">
        <v>295</v>
      </c>
      <c r="EL54" s="2" t="s">
        <v>30</v>
      </c>
      <c r="EM54" s="2" t="s">
        <v>31</v>
      </c>
      <c r="EN54" s="2"/>
      <c r="EO54" s="2" t="s">
        <v>6</v>
      </c>
      <c r="EP54" s="2"/>
      <c r="EQ54" s="2">
        <v>0</v>
      </c>
      <c r="ER54" s="2">
        <v>416.4</v>
      </c>
      <c r="ES54" s="2">
        <v>0</v>
      </c>
      <c r="ET54" s="2">
        <v>0</v>
      </c>
      <c r="EU54" s="2">
        <v>0</v>
      </c>
      <c r="EV54" s="2">
        <v>416.4</v>
      </c>
      <c r="EW54" s="2">
        <v>40</v>
      </c>
      <c r="EX54" s="2">
        <v>0</v>
      </c>
      <c r="EY54" s="2">
        <v>0</v>
      </c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>
        <v>0</v>
      </c>
      <c r="FR54" s="2">
        <f t="shared" si="93"/>
        <v>0</v>
      </c>
      <c r="FS54" s="2">
        <v>0</v>
      </c>
      <c r="FT54" s="2"/>
      <c r="FU54" s="2"/>
      <c r="FV54" s="2"/>
      <c r="FW54" s="2"/>
      <c r="FX54" s="2">
        <v>187</v>
      </c>
      <c r="FY54" s="2">
        <v>101</v>
      </c>
      <c r="FZ54" s="2"/>
      <c r="GA54" s="2" t="s">
        <v>6</v>
      </c>
      <c r="GB54" s="2"/>
      <c r="GC54" s="2"/>
      <c r="GD54" s="2">
        <v>0</v>
      </c>
      <c r="GE54" s="2"/>
      <c r="GF54" s="2">
        <v>-1730139507</v>
      </c>
      <c r="GG54" s="2">
        <v>2</v>
      </c>
      <c r="GH54" s="2">
        <v>1</v>
      </c>
      <c r="GI54" s="2">
        <v>-2</v>
      </c>
      <c r="GJ54" s="2">
        <v>0</v>
      </c>
      <c r="GK54" s="2">
        <f>ROUND(R54*(R12)/100,2)</f>
        <v>0</v>
      </c>
      <c r="GL54" s="2">
        <f t="shared" si="94"/>
        <v>0</v>
      </c>
      <c r="GM54" s="2">
        <f t="shared" si="95"/>
        <v>12117.24</v>
      </c>
      <c r="GN54" s="2">
        <f t="shared" si="96"/>
        <v>12117.24</v>
      </c>
      <c r="GO54" s="2">
        <f t="shared" si="97"/>
        <v>0</v>
      </c>
      <c r="GP54" s="2">
        <f t="shared" si="98"/>
        <v>0</v>
      </c>
      <c r="GQ54" s="2"/>
      <c r="GR54" s="2">
        <v>0</v>
      </c>
      <c r="GS54" s="2">
        <v>3</v>
      </c>
      <c r="GT54" s="2">
        <v>0</v>
      </c>
      <c r="GU54" s="2" t="s">
        <v>6</v>
      </c>
      <c r="GV54" s="2">
        <f t="shared" si="99"/>
        <v>0</v>
      </c>
      <c r="GW54" s="2">
        <v>1</v>
      </c>
      <c r="GX54" s="2">
        <f t="shared" si="100"/>
        <v>0</v>
      </c>
      <c r="GY54" s="2"/>
      <c r="GZ54" s="2"/>
      <c r="HA54" s="2">
        <v>0</v>
      </c>
      <c r="HB54" s="2">
        <v>0</v>
      </c>
      <c r="HC54" s="2">
        <f t="shared" si="101"/>
        <v>0</v>
      </c>
      <c r="HD54" s="2"/>
      <c r="HE54" s="2" t="s">
        <v>6</v>
      </c>
      <c r="HF54" s="2" t="s">
        <v>6</v>
      </c>
      <c r="HG54" s="2"/>
      <c r="HH54" s="2"/>
      <c r="HI54" s="2"/>
      <c r="HJ54" s="2"/>
      <c r="HK54" s="2"/>
      <c r="HL54" s="2"/>
      <c r="HM54" s="2" t="s">
        <v>6</v>
      </c>
      <c r="HN54" s="2" t="s">
        <v>6</v>
      </c>
      <c r="HO54" s="2" t="s">
        <v>6</v>
      </c>
      <c r="HP54" s="2" t="s">
        <v>6</v>
      </c>
      <c r="HQ54" s="2" t="s">
        <v>6</v>
      </c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>
        <v>0</v>
      </c>
      <c r="IL54" s="2"/>
      <c r="IM54" s="2"/>
      <c r="IN54" s="2"/>
      <c r="IO54" s="2"/>
      <c r="IP54" s="2"/>
      <c r="IQ54" s="2"/>
      <c r="IR54" s="2"/>
      <c r="IS54" s="2"/>
      <c r="IT54" s="2"/>
      <c r="IU54" s="2"/>
    </row>
    <row r="55" spans="1:255">
      <c r="A55">
        <v>17</v>
      </c>
      <c r="B55">
        <v>1</v>
      </c>
      <c r="E55" t="s">
        <v>59</v>
      </c>
      <c r="F55" t="s">
        <v>38</v>
      </c>
      <c r="G55" t="s">
        <v>39</v>
      </c>
      <c r="H55" t="s">
        <v>27</v>
      </c>
      <c r="I55">
        <f>ROUND((3000)/100*0.25,9)</f>
        <v>7.5</v>
      </c>
      <c r="J55">
        <v>0</v>
      </c>
      <c r="K55">
        <f>ROUND((3000)/100*0.25,9)</f>
        <v>7.5</v>
      </c>
      <c r="O55">
        <f t="shared" si="66"/>
        <v>145750.41</v>
      </c>
      <c r="P55">
        <f t="shared" si="67"/>
        <v>0</v>
      </c>
      <c r="Q55">
        <f t="shared" si="68"/>
        <v>0</v>
      </c>
      <c r="R55">
        <f t="shared" si="69"/>
        <v>0</v>
      </c>
      <c r="S55">
        <f t="shared" si="70"/>
        <v>145750.41</v>
      </c>
      <c r="T55">
        <f t="shared" si="71"/>
        <v>0</v>
      </c>
      <c r="U55">
        <f t="shared" si="72"/>
        <v>300</v>
      </c>
      <c r="V55">
        <f t="shared" si="73"/>
        <v>0</v>
      </c>
      <c r="W55">
        <f t="shared" si="74"/>
        <v>0</v>
      </c>
      <c r="X55">
        <f t="shared" si="75"/>
        <v>153037.93</v>
      </c>
      <c r="Y55">
        <f t="shared" si="76"/>
        <v>69960.2</v>
      </c>
      <c r="AA55">
        <v>70322059</v>
      </c>
      <c r="AB55">
        <f t="shared" si="77"/>
        <v>416.4</v>
      </c>
      <c r="AC55">
        <f t="shared" si="78"/>
        <v>0</v>
      </c>
      <c r="AD55">
        <f t="shared" si="79"/>
        <v>0</v>
      </c>
      <c r="AE55">
        <f t="shared" si="80"/>
        <v>0</v>
      </c>
      <c r="AF55">
        <f t="shared" si="80"/>
        <v>416.4</v>
      </c>
      <c r="AG55">
        <f t="shared" si="81"/>
        <v>0</v>
      </c>
      <c r="AH55">
        <f t="shared" si="82"/>
        <v>40</v>
      </c>
      <c r="AI55">
        <f t="shared" si="82"/>
        <v>0</v>
      </c>
      <c r="AJ55">
        <f t="shared" si="83"/>
        <v>0</v>
      </c>
      <c r="AK55">
        <v>416.4</v>
      </c>
      <c r="AL55">
        <v>0</v>
      </c>
      <c r="AM55">
        <v>0</v>
      </c>
      <c r="AN55">
        <v>0</v>
      </c>
      <c r="AO55">
        <v>416.4</v>
      </c>
      <c r="AP55">
        <v>0</v>
      </c>
      <c r="AQ55">
        <v>40</v>
      </c>
      <c r="AR55">
        <v>0</v>
      </c>
      <c r="AS55">
        <v>0</v>
      </c>
      <c r="AT55">
        <v>105</v>
      </c>
      <c r="AU55">
        <v>48</v>
      </c>
      <c r="AV55">
        <v>1</v>
      </c>
      <c r="AW55">
        <v>1</v>
      </c>
      <c r="AZ55">
        <v>1</v>
      </c>
      <c r="BA55">
        <v>46.67</v>
      </c>
      <c r="BB55">
        <v>1</v>
      </c>
      <c r="BC55">
        <v>1</v>
      </c>
      <c r="BD55" t="s">
        <v>6</v>
      </c>
      <c r="BE55" t="s">
        <v>6</v>
      </c>
      <c r="BF55" t="s">
        <v>6</v>
      </c>
      <c r="BG55" t="s">
        <v>6</v>
      </c>
      <c r="BH55">
        <v>0</v>
      </c>
      <c r="BI55">
        <v>1</v>
      </c>
      <c r="BJ55" t="s">
        <v>40</v>
      </c>
      <c r="BM55">
        <v>295</v>
      </c>
      <c r="BN55">
        <v>0</v>
      </c>
      <c r="BO55" t="s">
        <v>38</v>
      </c>
      <c r="BP55">
        <v>1</v>
      </c>
      <c r="BQ55">
        <v>30</v>
      </c>
      <c r="BR55">
        <v>0</v>
      </c>
      <c r="BS55">
        <v>46.67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6</v>
      </c>
      <c r="BZ55">
        <v>105</v>
      </c>
      <c r="CA55">
        <v>48</v>
      </c>
      <c r="CB55" t="s">
        <v>6</v>
      </c>
      <c r="CE55">
        <v>30</v>
      </c>
      <c r="CF55">
        <v>0</v>
      </c>
      <c r="CG55">
        <v>0</v>
      </c>
      <c r="CM55">
        <v>0</v>
      </c>
      <c r="CN55" t="s">
        <v>6</v>
      </c>
      <c r="CO55">
        <v>0</v>
      </c>
      <c r="CP55">
        <f t="shared" si="84"/>
        <v>145750.41</v>
      </c>
      <c r="CQ55">
        <f t="shared" si="85"/>
        <v>0</v>
      </c>
      <c r="CR55">
        <f t="shared" si="86"/>
        <v>0</v>
      </c>
      <c r="CS55">
        <f t="shared" si="87"/>
        <v>0</v>
      </c>
      <c r="CT55">
        <f t="shared" si="88"/>
        <v>19433.39</v>
      </c>
      <c r="CU55">
        <f t="shared" si="89"/>
        <v>0</v>
      </c>
      <c r="CV55">
        <f t="shared" si="90"/>
        <v>40</v>
      </c>
      <c r="CW55">
        <f t="shared" si="91"/>
        <v>0</v>
      </c>
      <c r="CX55">
        <f t="shared" si="92"/>
        <v>0</v>
      </c>
      <c r="CY55">
        <f>S55*(BZ55/100)</f>
        <v>153037.93050000002</v>
      </c>
      <c r="CZ55">
        <f>S55*(CA55/100)</f>
        <v>69960.196800000005</v>
      </c>
      <c r="DC55" t="s">
        <v>6</v>
      </c>
      <c r="DD55" t="s">
        <v>6</v>
      </c>
      <c r="DE55" t="s">
        <v>6</v>
      </c>
      <c r="DF55" t="s">
        <v>6</v>
      </c>
      <c r="DG55" t="s">
        <v>6</v>
      </c>
      <c r="DH55" t="s">
        <v>6</v>
      </c>
      <c r="DI55" t="s">
        <v>6</v>
      </c>
      <c r="DJ55" t="s">
        <v>6</v>
      </c>
      <c r="DK55" t="s">
        <v>6</v>
      </c>
      <c r="DL55" t="s">
        <v>6</v>
      </c>
      <c r="DM55" t="s">
        <v>6</v>
      </c>
      <c r="DN55">
        <v>187</v>
      </c>
      <c r="DO55">
        <v>101</v>
      </c>
      <c r="DP55">
        <v>1</v>
      </c>
      <c r="DQ55">
        <v>1</v>
      </c>
      <c r="DU55">
        <v>1005</v>
      </c>
      <c r="DV55" t="s">
        <v>27</v>
      </c>
      <c r="DW55" t="s">
        <v>27</v>
      </c>
      <c r="DX55">
        <v>100</v>
      </c>
      <c r="DZ55" t="s">
        <v>6</v>
      </c>
      <c r="EA55" t="s">
        <v>6</v>
      </c>
      <c r="EB55" t="s">
        <v>6</v>
      </c>
      <c r="EC55" t="s">
        <v>6</v>
      </c>
      <c r="EE55">
        <v>69252920</v>
      </c>
      <c r="EF55">
        <v>30</v>
      </c>
      <c r="EG55" t="s">
        <v>29</v>
      </c>
      <c r="EH55">
        <v>0</v>
      </c>
      <c r="EI55" t="s">
        <v>6</v>
      </c>
      <c r="EJ55">
        <v>1</v>
      </c>
      <c r="EK55">
        <v>295</v>
      </c>
      <c r="EL55" t="s">
        <v>30</v>
      </c>
      <c r="EM55" t="s">
        <v>31</v>
      </c>
      <c r="EO55" t="s">
        <v>6</v>
      </c>
      <c r="EQ55">
        <v>0</v>
      </c>
      <c r="ER55">
        <v>416.4</v>
      </c>
      <c r="ES55">
        <v>0</v>
      </c>
      <c r="ET55">
        <v>0</v>
      </c>
      <c r="EU55">
        <v>0</v>
      </c>
      <c r="EV55">
        <v>416.4</v>
      </c>
      <c r="EW55">
        <v>40</v>
      </c>
      <c r="EX55">
        <v>0</v>
      </c>
      <c r="EY55">
        <v>0</v>
      </c>
      <c r="FQ55">
        <v>0</v>
      </c>
      <c r="FR55">
        <f t="shared" si="93"/>
        <v>0</v>
      </c>
      <c r="FS55">
        <v>0</v>
      </c>
      <c r="FX55">
        <v>187</v>
      </c>
      <c r="FY55">
        <v>101</v>
      </c>
      <c r="GA55" t="s">
        <v>6</v>
      </c>
      <c r="GD55">
        <v>0</v>
      </c>
      <c r="GF55">
        <v>-1730139507</v>
      </c>
      <c r="GG55">
        <v>2</v>
      </c>
      <c r="GH55">
        <v>1</v>
      </c>
      <c r="GI55">
        <v>2</v>
      </c>
      <c r="GJ55">
        <v>0</v>
      </c>
      <c r="GK55">
        <f>ROUND(R55*(S12)/100,2)</f>
        <v>0</v>
      </c>
      <c r="GL55">
        <f t="shared" si="94"/>
        <v>0</v>
      </c>
      <c r="GM55">
        <f t="shared" si="95"/>
        <v>368748.54</v>
      </c>
      <c r="GN55">
        <f t="shared" si="96"/>
        <v>368748.54</v>
      </c>
      <c r="GO55">
        <f t="shared" si="97"/>
        <v>0</v>
      </c>
      <c r="GP55">
        <f t="shared" si="98"/>
        <v>0</v>
      </c>
      <c r="GR55">
        <v>0</v>
      </c>
      <c r="GS55">
        <v>0</v>
      </c>
      <c r="GT55">
        <v>0</v>
      </c>
      <c r="GU55" t="s">
        <v>6</v>
      </c>
      <c r="GV55">
        <f t="shared" si="99"/>
        <v>0</v>
      </c>
      <c r="GW55">
        <v>1</v>
      </c>
      <c r="GX55">
        <f t="shared" si="100"/>
        <v>0</v>
      </c>
      <c r="HA55">
        <v>0</v>
      </c>
      <c r="HB55">
        <v>0</v>
      </c>
      <c r="HC55">
        <f t="shared" si="101"/>
        <v>0</v>
      </c>
      <c r="HE55" t="s">
        <v>6</v>
      </c>
      <c r="HF55" t="s">
        <v>6</v>
      </c>
      <c r="HM55" t="s">
        <v>6</v>
      </c>
      <c r="HN55" t="s">
        <v>6</v>
      </c>
      <c r="HO55" t="s">
        <v>6</v>
      </c>
      <c r="HP55" t="s">
        <v>6</v>
      </c>
      <c r="HQ55" t="s">
        <v>6</v>
      </c>
      <c r="IK55">
        <v>0</v>
      </c>
    </row>
    <row r="56" spans="1:255">
      <c r="A56" s="2">
        <v>18</v>
      </c>
      <c r="B56" s="2">
        <v>1</v>
      </c>
      <c r="C56" s="2"/>
      <c r="D56" s="2"/>
      <c r="E56" s="2" t="s">
        <v>60</v>
      </c>
      <c r="F56" s="2" t="s">
        <v>33</v>
      </c>
      <c r="G56" s="2" t="s">
        <v>34</v>
      </c>
      <c r="H56" s="2" t="s">
        <v>35</v>
      </c>
      <c r="I56" s="2">
        <f>I54*J56</f>
        <v>112.5</v>
      </c>
      <c r="J56" s="2">
        <v>15</v>
      </c>
      <c r="K56" s="2">
        <v>15</v>
      </c>
      <c r="L56" s="2"/>
      <c r="M56" s="2"/>
      <c r="N56" s="2"/>
      <c r="O56" s="2">
        <f t="shared" si="66"/>
        <v>16519.5</v>
      </c>
      <c r="P56" s="2">
        <f t="shared" si="67"/>
        <v>16519.5</v>
      </c>
      <c r="Q56" s="2">
        <f t="shared" si="68"/>
        <v>0</v>
      </c>
      <c r="R56" s="2">
        <f t="shared" si="69"/>
        <v>0</v>
      </c>
      <c r="S56" s="2">
        <f t="shared" si="70"/>
        <v>0</v>
      </c>
      <c r="T56" s="2">
        <f t="shared" si="71"/>
        <v>0</v>
      </c>
      <c r="U56" s="2">
        <f t="shared" si="72"/>
        <v>0</v>
      </c>
      <c r="V56" s="2">
        <f t="shared" si="73"/>
        <v>0</v>
      </c>
      <c r="W56" s="2">
        <f t="shared" si="74"/>
        <v>0</v>
      </c>
      <c r="X56" s="2">
        <f t="shared" si="75"/>
        <v>0</v>
      </c>
      <c r="Y56" s="2">
        <f t="shared" si="76"/>
        <v>0</v>
      </c>
      <c r="Z56" s="2"/>
      <c r="AA56" s="2">
        <v>70322058</v>
      </c>
      <c r="AB56" s="2">
        <f t="shared" si="77"/>
        <v>146.84</v>
      </c>
      <c r="AC56" s="2">
        <f t="shared" si="78"/>
        <v>146.84</v>
      </c>
      <c r="AD56" s="2">
        <f t="shared" si="79"/>
        <v>0</v>
      </c>
      <c r="AE56" s="2">
        <f t="shared" si="80"/>
        <v>0</v>
      </c>
      <c r="AF56" s="2">
        <f t="shared" si="80"/>
        <v>0</v>
      </c>
      <c r="AG56" s="2">
        <f t="shared" si="81"/>
        <v>0</v>
      </c>
      <c r="AH56" s="2">
        <f t="shared" si="82"/>
        <v>0</v>
      </c>
      <c r="AI56" s="2">
        <f t="shared" si="82"/>
        <v>0</v>
      </c>
      <c r="AJ56" s="2">
        <f t="shared" si="83"/>
        <v>0</v>
      </c>
      <c r="AK56" s="2">
        <v>146.84</v>
      </c>
      <c r="AL56" s="2">
        <v>146.84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187</v>
      </c>
      <c r="AU56" s="2">
        <v>101</v>
      </c>
      <c r="AV56" s="2">
        <v>1</v>
      </c>
      <c r="AW56" s="2">
        <v>1</v>
      </c>
      <c r="AX56" s="2"/>
      <c r="AY56" s="2"/>
      <c r="AZ56" s="2">
        <v>1</v>
      </c>
      <c r="BA56" s="2">
        <v>1</v>
      </c>
      <c r="BB56" s="2">
        <v>1</v>
      </c>
      <c r="BC56" s="2">
        <v>1</v>
      </c>
      <c r="BD56" s="2" t="s">
        <v>6</v>
      </c>
      <c r="BE56" s="2" t="s">
        <v>6</v>
      </c>
      <c r="BF56" s="2" t="s">
        <v>6</v>
      </c>
      <c r="BG56" s="2" t="s">
        <v>6</v>
      </c>
      <c r="BH56" s="2">
        <v>3</v>
      </c>
      <c r="BI56" s="2">
        <v>1</v>
      </c>
      <c r="BJ56" s="2" t="s">
        <v>36</v>
      </c>
      <c r="BK56" s="2"/>
      <c r="BL56" s="2"/>
      <c r="BM56" s="2">
        <v>295</v>
      </c>
      <c r="BN56" s="2">
        <v>0</v>
      </c>
      <c r="BO56" s="2" t="s">
        <v>6</v>
      </c>
      <c r="BP56" s="2">
        <v>0</v>
      </c>
      <c r="BQ56" s="2">
        <v>30</v>
      </c>
      <c r="BR56" s="2">
        <v>0</v>
      </c>
      <c r="BS56" s="2">
        <v>1</v>
      </c>
      <c r="BT56" s="2">
        <v>1</v>
      </c>
      <c r="BU56" s="2">
        <v>1</v>
      </c>
      <c r="BV56" s="2">
        <v>1</v>
      </c>
      <c r="BW56" s="2">
        <v>1</v>
      </c>
      <c r="BX56" s="2">
        <v>1</v>
      </c>
      <c r="BY56" s="2" t="s">
        <v>6</v>
      </c>
      <c r="BZ56" s="2">
        <v>187</v>
      </c>
      <c r="CA56" s="2">
        <v>101</v>
      </c>
      <c r="CB56" s="2" t="s">
        <v>6</v>
      </c>
      <c r="CC56" s="2"/>
      <c r="CD56" s="2"/>
      <c r="CE56" s="2">
        <v>30</v>
      </c>
      <c r="CF56" s="2">
        <v>0</v>
      </c>
      <c r="CG56" s="2">
        <v>0</v>
      </c>
      <c r="CH56" s="2"/>
      <c r="CI56" s="2"/>
      <c r="CJ56" s="2"/>
      <c r="CK56" s="2"/>
      <c r="CL56" s="2"/>
      <c r="CM56" s="2">
        <v>0</v>
      </c>
      <c r="CN56" s="2" t="s">
        <v>6</v>
      </c>
      <c r="CO56" s="2">
        <v>0</v>
      </c>
      <c r="CP56" s="2">
        <f t="shared" si="84"/>
        <v>16519.5</v>
      </c>
      <c r="CQ56" s="2">
        <f t="shared" si="85"/>
        <v>146.84</v>
      </c>
      <c r="CR56" s="2">
        <f t="shared" si="86"/>
        <v>0</v>
      </c>
      <c r="CS56" s="2">
        <f t="shared" si="87"/>
        <v>0</v>
      </c>
      <c r="CT56" s="2">
        <f t="shared" si="88"/>
        <v>0</v>
      </c>
      <c r="CU56" s="2">
        <f t="shared" si="89"/>
        <v>0</v>
      </c>
      <c r="CV56" s="2">
        <f t="shared" si="90"/>
        <v>0</v>
      </c>
      <c r="CW56" s="2">
        <f t="shared" si="91"/>
        <v>0</v>
      </c>
      <c r="CX56" s="2">
        <f t="shared" si="92"/>
        <v>0</v>
      </c>
      <c r="CY56" s="2">
        <f>((S56*BZ56)/100)</f>
        <v>0</v>
      </c>
      <c r="CZ56" s="2">
        <f>((S56*CA56)/100)</f>
        <v>0</v>
      </c>
      <c r="DA56" s="2"/>
      <c r="DB56" s="2"/>
      <c r="DC56" s="2" t="s">
        <v>6</v>
      </c>
      <c r="DD56" s="2" t="s">
        <v>6</v>
      </c>
      <c r="DE56" s="2" t="s">
        <v>6</v>
      </c>
      <c r="DF56" s="2" t="s">
        <v>6</v>
      </c>
      <c r="DG56" s="2" t="s">
        <v>6</v>
      </c>
      <c r="DH56" s="2" t="s">
        <v>6</v>
      </c>
      <c r="DI56" s="2" t="s">
        <v>6</v>
      </c>
      <c r="DJ56" s="2" t="s">
        <v>6</v>
      </c>
      <c r="DK56" s="2" t="s">
        <v>6</v>
      </c>
      <c r="DL56" s="2" t="s">
        <v>6</v>
      </c>
      <c r="DM56" s="2" t="s">
        <v>6</v>
      </c>
      <c r="DN56" s="2">
        <v>0</v>
      </c>
      <c r="DO56" s="2">
        <v>0</v>
      </c>
      <c r="DP56" s="2">
        <v>1</v>
      </c>
      <c r="DQ56" s="2">
        <v>1</v>
      </c>
      <c r="DR56" s="2"/>
      <c r="DS56" s="2"/>
      <c r="DT56" s="2"/>
      <c r="DU56" s="2">
        <v>1007</v>
      </c>
      <c r="DV56" s="2" t="s">
        <v>35</v>
      </c>
      <c r="DW56" s="2" t="s">
        <v>35</v>
      </c>
      <c r="DX56" s="2">
        <v>1</v>
      </c>
      <c r="DY56" s="2"/>
      <c r="DZ56" s="2" t="s">
        <v>6</v>
      </c>
      <c r="EA56" s="2" t="s">
        <v>6</v>
      </c>
      <c r="EB56" s="2" t="s">
        <v>6</v>
      </c>
      <c r="EC56" s="2" t="s">
        <v>6</v>
      </c>
      <c r="ED56" s="2"/>
      <c r="EE56" s="2">
        <v>69252920</v>
      </c>
      <c r="EF56" s="2">
        <v>30</v>
      </c>
      <c r="EG56" s="2" t="s">
        <v>29</v>
      </c>
      <c r="EH56" s="2">
        <v>0</v>
      </c>
      <c r="EI56" s="2" t="s">
        <v>6</v>
      </c>
      <c r="EJ56" s="2">
        <v>1</v>
      </c>
      <c r="EK56" s="2">
        <v>295</v>
      </c>
      <c r="EL56" s="2" t="s">
        <v>30</v>
      </c>
      <c r="EM56" s="2" t="s">
        <v>31</v>
      </c>
      <c r="EN56" s="2"/>
      <c r="EO56" s="2" t="s">
        <v>6</v>
      </c>
      <c r="EP56" s="2"/>
      <c r="EQ56" s="2">
        <v>0</v>
      </c>
      <c r="ER56" s="2">
        <v>146.84</v>
      </c>
      <c r="ES56" s="2">
        <v>146.84</v>
      </c>
      <c r="ET56" s="2">
        <v>0</v>
      </c>
      <c r="EU56" s="2">
        <v>0</v>
      </c>
      <c r="EV56" s="2">
        <v>0</v>
      </c>
      <c r="EW56" s="2">
        <v>0</v>
      </c>
      <c r="EX56" s="2">
        <v>0</v>
      </c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>
        <v>0</v>
      </c>
      <c r="FR56" s="2">
        <f t="shared" si="93"/>
        <v>0</v>
      </c>
      <c r="FS56" s="2">
        <v>0</v>
      </c>
      <c r="FT56" s="2"/>
      <c r="FU56" s="2"/>
      <c r="FV56" s="2"/>
      <c r="FW56" s="2"/>
      <c r="FX56" s="2">
        <v>187</v>
      </c>
      <c r="FY56" s="2">
        <v>101</v>
      </c>
      <c r="FZ56" s="2"/>
      <c r="GA56" s="2" t="s">
        <v>6</v>
      </c>
      <c r="GB56" s="2"/>
      <c r="GC56" s="2"/>
      <c r="GD56" s="2">
        <v>0</v>
      </c>
      <c r="GE56" s="2"/>
      <c r="GF56" s="2">
        <v>331308664</v>
      </c>
      <c r="GG56" s="2">
        <v>2</v>
      </c>
      <c r="GH56" s="2">
        <v>1</v>
      </c>
      <c r="GI56" s="2">
        <v>-2</v>
      </c>
      <c r="GJ56" s="2">
        <v>0</v>
      </c>
      <c r="GK56" s="2">
        <f>ROUND(R56*(R12)/100,2)</f>
        <v>0</v>
      </c>
      <c r="GL56" s="2">
        <f t="shared" si="94"/>
        <v>0</v>
      </c>
      <c r="GM56" s="2">
        <f t="shared" si="95"/>
        <v>16519.5</v>
      </c>
      <c r="GN56" s="2">
        <f t="shared" si="96"/>
        <v>16519.5</v>
      </c>
      <c r="GO56" s="2">
        <f t="shared" si="97"/>
        <v>0</v>
      </c>
      <c r="GP56" s="2">
        <f t="shared" si="98"/>
        <v>0</v>
      </c>
      <c r="GQ56" s="2"/>
      <c r="GR56" s="2">
        <v>0</v>
      </c>
      <c r="GS56" s="2">
        <v>3</v>
      </c>
      <c r="GT56" s="2">
        <v>0</v>
      </c>
      <c r="GU56" s="2" t="s">
        <v>6</v>
      </c>
      <c r="GV56" s="2">
        <f t="shared" si="99"/>
        <v>0</v>
      </c>
      <c r="GW56" s="2">
        <v>1</v>
      </c>
      <c r="GX56" s="2">
        <f t="shared" si="100"/>
        <v>0</v>
      </c>
      <c r="GY56" s="2"/>
      <c r="GZ56" s="2"/>
      <c r="HA56" s="2">
        <v>0</v>
      </c>
      <c r="HB56" s="2">
        <v>0</v>
      </c>
      <c r="HC56" s="2">
        <f t="shared" si="101"/>
        <v>0</v>
      </c>
      <c r="HD56" s="2"/>
      <c r="HE56" s="2" t="s">
        <v>6</v>
      </c>
      <c r="HF56" s="2" t="s">
        <v>6</v>
      </c>
      <c r="HG56" s="2"/>
      <c r="HH56" s="2"/>
      <c r="HI56" s="2"/>
      <c r="HJ56" s="2"/>
      <c r="HK56" s="2"/>
      <c r="HL56" s="2"/>
      <c r="HM56" s="2" t="s">
        <v>6</v>
      </c>
      <c r="HN56" s="2" t="s">
        <v>6</v>
      </c>
      <c r="HO56" s="2" t="s">
        <v>6</v>
      </c>
      <c r="HP56" s="2" t="s">
        <v>6</v>
      </c>
      <c r="HQ56" s="2" t="s">
        <v>6</v>
      </c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>
        <v>0</v>
      </c>
      <c r="IL56" s="2"/>
      <c r="IM56" s="2"/>
      <c r="IN56" s="2"/>
      <c r="IO56" s="2"/>
      <c r="IP56" s="2"/>
      <c r="IQ56" s="2"/>
      <c r="IR56" s="2"/>
      <c r="IS56" s="2"/>
      <c r="IT56" s="2"/>
      <c r="IU56" s="2"/>
    </row>
    <row r="57" spans="1:255">
      <c r="A57">
        <v>18</v>
      </c>
      <c r="B57">
        <v>1</v>
      </c>
      <c r="E57" t="s">
        <v>60</v>
      </c>
      <c r="F57" t="s">
        <v>33</v>
      </c>
      <c r="G57" t="s">
        <v>34</v>
      </c>
      <c r="H57" t="s">
        <v>35</v>
      </c>
      <c r="I57">
        <f>I55*J57</f>
        <v>112.5</v>
      </c>
      <c r="J57">
        <v>15</v>
      </c>
      <c r="K57">
        <v>15</v>
      </c>
      <c r="O57">
        <f t="shared" si="66"/>
        <v>129017.3</v>
      </c>
      <c r="P57">
        <f t="shared" si="67"/>
        <v>129017.3</v>
      </c>
      <c r="Q57">
        <f t="shared" si="68"/>
        <v>0</v>
      </c>
      <c r="R57">
        <f t="shared" si="69"/>
        <v>0</v>
      </c>
      <c r="S57">
        <f t="shared" si="70"/>
        <v>0</v>
      </c>
      <c r="T57">
        <f t="shared" si="71"/>
        <v>0</v>
      </c>
      <c r="U57">
        <f t="shared" si="72"/>
        <v>0</v>
      </c>
      <c r="V57">
        <f t="shared" si="73"/>
        <v>0</v>
      </c>
      <c r="W57">
        <f t="shared" si="74"/>
        <v>0</v>
      </c>
      <c r="X57">
        <f t="shared" si="75"/>
        <v>0</v>
      </c>
      <c r="Y57">
        <f t="shared" si="76"/>
        <v>0</v>
      </c>
      <c r="AA57">
        <v>70322059</v>
      </c>
      <c r="AB57">
        <f t="shared" si="77"/>
        <v>146.84</v>
      </c>
      <c r="AC57">
        <f t="shared" si="78"/>
        <v>146.84</v>
      </c>
      <c r="AD57">
        <f t="shared" si="79"/>
        <v>0</v>
      </c>
      <c r="AE57">
        <f t="shared" si="80"/>
        <v>0</v>
      </c>
      <c r="AF57">
        <f t="shared" si="80"/>
        <v>0</v>
      </c>
      <c r="AG57">
        <f t="shared" si="81"/>
        <v>0</v>
      </c>
      <c r="AH57">
        <f t="shared" si="82"/>
        <v>0</v>
      </c>
      <c r="AI57">
        <f t="shared" si="82"/>
        <v>0</v>
      </c>
      <c r="AJ57">
        <f t="shared" si="83"/>
        <v>0</v>
      </c>
      <c r="AK57">
        <v>146.84</v>
      </c>
      <c r="AL57">
        <v>146.84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7.81</v>
      </c>
      <c r="BD57" t="s">
        <v>6</v>
      </c>
      <c r="BE57" t="s">
        <v>6</v>
      </c>
      <c r="BF57" t="s">
        <v>6</v>
      </c>
      <c r="BG57" t="s">
        <v>6</v>
      </c>
      <c r="BH57">
        <v>3</v>
      </c>
      <c r="BI57">
        <v>1</v>
      </c>
      <c r="BJ57" t="s">
        <v>36</v>
      </c>
      <c r="BM57">
        <v>295</v>
      </c>
      <c r="BN57">
        <v>0</v>
      </c>
      <c r="BO57" t="s">
        <v>33</v>
      </c>
      <c r="BP57">
        <v>1</v>
      </c>
      <c r="BQ57">
        <v>30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6</v>
      </c>
      <c r="BZ57">
        <v>0</v>
      </c>
      <c r="CA57">
        <v>0</v>
      </c>
      <c r="CB57" t="s">
        <v>6</v>
      </c>
      <c r="CE57">
        <v>30</v>
      </c>
      <c r="CF57">
        <v>0</v>
      </c>
      <c r="CG57">
        <v>0</v>
      </c>
      <c r="CM57">
        <v>0</v>
      </c>
      <c r="CN57" t="s">
        <v>6</v>
      </c>
      <c r="CO57">
        <v>0</v>
      </c>
      <c r="CP57">
        <f t="shared" si="84"/>
        <v>129017.3</v>
      </c>
      <c r="CQ57">
        <f t="shared" si="85"/>
        <v>1146.82</v>
      </c>
      <c r="CR57">
        <f t="shared" si="86"/>
        <v>0</v>
      </c>
      <c r="CS57">
        <f t="shared" si="87"/>
        <v>0</v>
      </c>
      <c r="CT57">
        <f t="shared" si="88"/>
        <v>0</v>
      </c>
      <c r="CU57">
        <f t="shared" si="89"/>
        <v>0</v>
      </c>
      <c r="CV57">
        <f t="shared" si="90"/>
        <v>0</v>
      </c>
      <c r="CW57">
        <f t="shared" si="91"/>
        <v>0</v>
      </c>
      <c r="CX57">
        <f t="shared" si="92"/>
        <v>0</v>
      </c>
      <c r="CY57">
        <f>S57*(BZ57/100)</f>
        <v>0</v>
      </c>
      <c r="CZ57">
        <f>S57*(CA57/100)</f>
        <v>0</v>
      </c>
      <c r="DC57" t="s">
        <v>6</v>
      </c>
      <c r="DD57" t="s">
        <v>6</v>
      </c>
      <c r="DE57" t="s">
        <v>6</v>
      </c>
      <c r="DF57" t="s">
        <v>6</v>
      </c>
      <c r="DG57" t="s">
        <v>6</v>
      </c>
      <c r="DH57" t="s">
        <v>6</v>
      </c>
      <c r="DI57" t="s">
        <v>6</v>
      </c>
      <c r="DJ57" t="s">
        <v>6</v>
      </c>
      <c r="DK57" t="s">
        <v>6</v>
      </c>
      <c r="DL57" t="s">
        <v>6</v>
      </c>
      <c r="DM57" t="s">
        <v>6</v>
      </c>
      <c r="DN57">
        <v>187</v>
      </c>
      <c r="DO57">
        <v>101</v>
      </c>
      <c r="DP57">
        <v>1</v>
      </c>
      <c r="DQ57">
        <v>1</v>
      </c>
      <c r="DU57">
        <v>1007</v>
      </c>
      <c r="DV57" t="s">
        <v>35</v>
      </c>
      <c r="DW57" t="s">
        <v>35</v>
      </c>
      <c r="DX57">
        <v>1</v>
      </c>
      <c r="DZ57" t="s">
        <v>6</v>
      </c>
      <c r="EA57" t="s">
        <v>6</v>
      </c>
      <c r="EB57" t="s">
        <v>6</v>
      </c>
      <c r="EC57" t="s">
        <v>6</v>
      </c>
      <c r="EE57">
        <v>69252920</v>
      </c>
      <c r="EF57">
        <v>30</v>
      </c>
      <c r="EG57" t="s">
        <v>29</v>
      </c>
      <c r="EH57">
        <v>0</v>
      </c>
      <c r="EI57" t="s">
        <v>6</v>
      </c>
      <c r="EJ57">
        <v>1</v>
      </c>
      <c r="EK57">
        <v>295</v>
      </c>
      <c r="EL57" t="s">
        <v>30</v>
      </c>
      <c r="EM57" t="s">
        <v>31</v>
      </c>
      <c r="EO57" t="s">
        <v>6</v>
      </c>
      <c r="EQ57">
        <v>0</v>
      </c>
      <c r="ER57">
        <v>146.84</v>
      </c>
      <c r="ES57">
        <v>146.84</v>
      </c>
      <c r="ET57">
        <v>0</v>
      </c>
      <c r="EU57">
        <v>0</v>
      </c>
      <c r="EV57">
        <v>0</v>
      </c>
      <c r="EW57">
        <v>0</v>
      </c>
      <c r="EX57">
        <v>0</v>
      </c>
      <c r="FQ57">
        <v>0</v>
      </c>
      <c r="FR57">
        <f t="shared" si="93"/>
        <v>0</v>
      </c>
      <c r="FS57">
        <v>0</v>
      </c>
      <c r="FX57">
        <v>187</v>
      </c>
      <c r="FY57">
        <v>101</v>
      </c>
      <c r="GA57" t="s">
        <v>6</v>
      </c>
      <c r="GD57">
        <v>0</v>
      </c>
      <c r="GF57">
        <v>331308664</v>
      </c>
      <c r="GG57">
        <v>2</v>
      </c>
      <c r="GH57">
        <v>1</v>
      </c>
      <c r="GI57">
        <v>2</v>
      </c>
      <c r="GJ57">
        <v>0</v>
      </c>
      <c r="GK57">
        <f>ROUND(R57*(S12)/100,2)</f>
        <v>0</v>
      </c>
      <c r="GL57">
        <f t="shared" si="94"/>
        <v>0</v>
      </c>
      <c r="GM57">
        <f t="shared" si="95"/>
        <v>129017.3</v>
      </c>
      <c r="GN57">
        <f t="shared" si="96"/>
        <v>129017.3</v>
      </c>
      <c r="GO57">
        <f t="shared" si="97"/>
        <v>0</v>
      </c>
      <c r="GP57">
        <f t="shared" si="98"/>
        <v>0</v>
      </c>
      <c r="GR57">
        <v>0</v>
      </c>
      <c r="GS57">
        <v>0</v>
      </c>
      <c r="GT57">
        <v>0</v>
      </c>
      <c r="GU57" t="s">
        <v>6</v>
      </c>
      <c r="GV57">
        <f t="shared" si="99"/>
        <v>0</v>
      </c>
      <c r="GW57">
        <v>1</v>
      </c>
      <c r="GX57">
        <f t="shared" si="100"/>
        <v>0</v>
      </c>
      <c r="HA57">
        <v>0</v>
      </c>
      <c r="HB57">
        <v>0</v>
      </c>
      <c r="HC57">
        <f t="shared" si="101"/>
        <v>0</v>
      </c>
      <c r="HE57" t="s">
        <v>6</v>
      </c>
      <c r="HF57" t="s">
        <v>6</v>
      </c>
      <c r="HM57" t="s">
        <v>6</v>
      </c>
      <c r="HN57" t="s">
        <v>6</v>
      </c>
      <c r="HO57" t="s">
        <v>6</v>
      </c>
      <c r="HP57" t="s">
        <v>6</v>
      </c>
      <c r="HQ57" t="s">
        <v>6</v>
      </c>
      <c r="IK57">
        <v>0</v>
      </c>
    </row>
    <row r="58" spans="1:255">
      <c r="A58" s="2">
        <v>17</v>
      </c>
      <c r="B58" s="2">
        <v>1</v>
      </c>
      <c r="C58" s="2"/>
      <c r="D58" s="2"/>
      <c r="E58" s="2" t="s">
        <v>61</v>
      </c>
      <c r="F58" s="2" t="s">
        <v>43</v>
      </c>
      <c r="G58" s="2" t="s">
        <v>44</v>
      </c>
      <c r="H58" s="2" t="s">
        <v>27</v>
      </c>
      <c r="I58" s="2">
        <f>ROUND(-(I33+I37),9)</f>
        <v>-8</v>
      </c>
      <c r="J58" s="2">
        <v>0</v>
      </c>
      <c r="K58" s="2">
        <f>ROUND(-(I33+I37),9)</f>
        <v>-8</v>
      </c>
      <c r="L58" s="2"/>
      <c r="M58" s="2"/>
      <c r="N58" s="2"/>
      <c r="O58" s="2">
        <f t="shared" si="66"/>
        <v>-911.04</v>
      </c>
      <c r="P58" s="2">
        <f t="shared" si="67"/>
        <v>0</v>
      </c>
      <c r="Q58" s="2">
        <f>(ROUND((ROUND((((ET58*2))*AV58*I58),2)*BB58),2)+ROUND((ROUND(((AE58-((EU58*2)))*AV58*I58),2)*BS58),2))</f>
        <v>0</v>
      </c>
      <c r="R58" s="2">
        <f t="shared" si="69"/>
        <v>0</v>
      </c>
      <c r="S58" s="2">
        <f t="shared" si="70"/>
        <v>-911.04</v>
      </c>
      <c r="T58" s="2">
        <f t="shared" si="71"/>
        <v>0</v>
      </c>
      <c r="U58" s="2">
        <f t="shared" si="72"/>
        <v>-87.52</v>
      </c>
      <c r="V58" s="2">
        <f t="shared" si="73"/>
        <v>0</v>
      </c>
      <c r="W58" s="2">
        <f t="shared" si="74"/>
        <v>0</v>
      </c>
      <c r="X58" s="2">
        <f t="shared" si="75"/>
        <v>-1703.64</v>
      </c>
      <c r="Y58" s="2">
        <f t="shared" si="76"/>
        <v>-920.15</v>
      </c>
      <c r="Z58" s="2"/>
      <c r="AA58" s="2">
        <v>70322058</v>
      </c>
      <c r="AB58" s="2">
        <f t="shared" si="77"/>
        <v>113.88</v>
      </c>
      <c r="AC58" s="2">
        <f>ROUND(((ES58*2)),6)</f>
        <v>0</v>
      </c>
      <c r="AD58" s="2">
        <f>ROUND(((((ET58*2))-((EU58*2)))+AE58),6)</f>
        <v>0</v>
      </c>
      <c r="AE58" s="2">
        <f>ROUND(((EU58*2)),6)</f>
        <v>0</v>
      </c>
      <c r="AF58" s="2">
        <f>ROUND(((EV58*2)),6)</f>
        <v>113.88</v>
      </c>
      <c r="AG58" s="2">
        <f t="shared" si="81"/>
        <v>0</v>
      </c>
      <c r="AH58" s="2">
        <f>((EW58*2))</f>
        <v>10.94</v>
      </c>
      <c r="AI58" s="2">
        <f>((EX58*2))</f>
        <v>0</v>
      </c>
      <c r="AJ58" s="2">
        <f t="shared" si="83"/>
        <v>0</v>
      </c>
      <c r="AK58" s="2">
        <v>56.94</v>
      </c>
      <c r="AL58" s="2">
        <v>0</v>
      </c>
      <c r="AM58" s="2">
        <v>0</v>
      </c>
      <c r="AN58" s="2">
        <v>0</v>
      </c>
      <c r="AO58" s="2">
        <v>56.94</v>
      </c>
      <c r="AP58" s="2">
        <v>0</v>
      </c>
      <c r="AQ58" s="2">
        <v>5.47</v>
      </c>
      <c r="AR58" s="2">
        <v>0</v>
      </c>
      <c r="AS58" s="2">
        <v>0</v>
      </c>
      <c r="AT58" s="2">
        <v>187</v>
      </c>
      <c r="AU58" s="2">
        <v>101</v>
      </c>
      <c r="AV58" s="2">
        <v>1</v>
      </c>
      <c r="AW58" s="2">
        <v>1</v>
      </c>
      <c r="AX58" s="2"/>
      <c r="AY58" s="2"/>
      <c r="AZ58" s="2">
        <v>1</v>
      </c>
      <c r="BA58" s="2">
        <v>1</v>
      </c>
      <c r="BB58" s="2">
        <v>1</v>
      </c>
      <c r="BC58" s="2">
        <v>1</v>
      </c>
      <c r="BD58" s="2" t="s">
        <v>6</v>
      </c>
      <c r="BE58" s="2" t="s">
        <v>6</v>
      </c>
      <c r="BF58" s="2" t="s">
        <v>6</v>
      </c>
      <c r="BG58" s="2" t="s">
        <v>6</v>
      </c>
      <c r="BH58" s="2">
        <v>0</v>
      </c>
      <c r="BI58" s="2">
        <v>1</v>
      </c>
      <c r="BJ58" s="2" t="s">
        <v>45</v>
      </c>
      <c r="BK58" s="2"/>
      <c r="BL58" s="2"/>
      <c r="BM58" s="2">
        <v>295</v>
      </c>
      <c r="BN58" s="2">
        <v>0</v>
      </c>
      <c r="BO58" s="2" t="s">
        <v>6</v>
      </c>
      <c r="BP58" s="2">
        <v>0</v>
      </c>
      <c r="BQ58" s="2">
        <v>30</v>
      </c>
      <c r="BR58" s="2">
        <v>0</v>
      </c>
      <c r="BS58" s="2">
        <v>1</v>
      </c>
      <c r="BT58" s="2">
        <v>1</v>
      </c>
      <c r="BU58" s="2">
        <v>1</v>
      </c>
      <c r="BV58" s="2">
        <v>1</v>
      </c>
      <c r="BW58" s="2">
        <v>1</v>
      </c>
      <c r="BX58" s="2">
        <v>1</v>
      </c>
      <c r="BY58" s="2" t="s">
        <v>6</v>
      </c>
      <c r="BZ58" s="2">
        <v>187</v>
      </c>
      <c r="CA58" s="2">
        <v>101</v>
      </c>
      <c r="CB58" s="2" t="s">
        <v>6</v>
      </c>
      <c r="CC58" s="2"/>
      <c r="CD58" s="2"/>
      <c r="CE58" s="2">
        <v>30</v>
      </c>
      <c r="CF58" s="2">
        <v>0</v>
      </c>
      <c r="CG58" s="2">
        <v>0</v>
      </c>
      <c r="CH58" s="2"/>
      <c r="CI58" s="2"/>
      <c r="CJ58" s="2"/>
      <c r="CK58" s="2"/>
      <c r="CL58" s="2"/>
      <c r="CM58" s="2">
        <v>0</v>
      </c>
      <c r="CN58" s="2" t="s">
        <v>6</v>
      </c>
      <c r="CO58" s="2">
        <v>0</v>
      </c>
      <c r="CP58" s="2">
        <f t="shared" si="84"/>
        <v>-911.04</v>
      </c>
      <c r="CQ58" s="2">
        <f t="shared" si="85"/>
        <v>0</v>
      </c>
      <c r="CR58" s="2">
        <f>(ROUND((ROUND((((ET58*2))*AV58*1),2)*BB58),2)+ROUND((ROUND(((AE58-((EU58*2)))*AV58*1),2)*BS58),2))</f>
        <v>0</v>
      </c>
      <c r="CS58" s="2">
        <f t="shared" si="87"/>
        <v>0</v>
      </c>
      <c r="CT58" s="2">
        <f t="shared" si="88"/>
        <v>113.88</v>
      </c>
      <c r="CU58" s="2">
        <f t="shared" si="89"/>
        <v>0</v>
      </c>
      <c r="CV58" s="2">
        <f t="shared" si="90"/>
        <v>10.94</v>
      </c>
      <c r="CW58" s="2">
        <f t="shared" si="91"/>
        <v>0</v>
      </c>
      <c r="CX58" s="2">
        <f t="shared" si="92"/>
        <v>0</v>
      </c>
      <c r="CY58" s="2">
        <f>((S58*BZ58)/100)</f>
        <v>-1703.6447999999998</v>
      </c>
      <c r="CZ58" s="2">
        <f>((S58*CA58)/100)</f>
        <v>-920.15039999999999</v>
      </c>
      <c r="DA58" s="2"/>
      <c r="DB58" s="2"/>
      <c r="DC58" s="2" t="s">
        <v>6</v>
      </c>
      <c r="DD58" s="2" t="s">
        <v>62</v>
      </c>
      <c r="DE58" s="2" t="s">
        <v>62</v>
      </c>
      <c r="DF58" s="2" t="s">
        <v>62</v>
      </c>
      <c r="DG58" s="2" t="s">
        <v>62</v>
      </c>
      <c r="DH58" s="2" t="s">
        <v>6</v>
      </c>
      <c r="DI58" s="2" t="s">
        <v>62</v>
      </c>
      <c r="DJ58" s="2" t="s">
        <v>62</v>
      </c>
      <c r="DK58" s="2" t="s">
        <v>6</v>
      </c>
      <c r="DL58" s="2" t="s">
        <v>6</v>
      </c>
      <c r="DM58" s="2" t="s">
        <v>6</v>
      </c>
      <c r="DN58" s="2">
        <v>0</v>
      </c>
      <c r="DO58" s="2">
        <v>0</v>
      </c>
      <c r="DP58" s="2">
        <v>1</v>
      </c>
      <c r="DQ58" s="2">
        <v>1</v>
      </c>
      <c r="DR58" s="2"/>
      <c r="DS58" s="2"/>
      <c r="DT58" s="2"/>
      <c r="DU58" s="2">
        <v>1005</v>
      </c>
      <c r="DV58" s="2" t="s">
        <v>27</v>
      </c>
      <c r="DW58" s="2" t="s">
        <v>27</v>
      </c>
      <c r="DX58" s="2">
        <v>100</v>
      </c>
      <c r="DY58" s="2"/>
      <c r="DZ58" s="2" t="s">
        <v>6</v>
      </c>
      <c r="EA58" s="2" t="s">
        <v>6</v>
      </c>
      <c r="EB58" s="2" t="s">
        <v>6</v>
      </c>
      <c r="EC58" s="2" t="s">
        <v>6</v>
      </c>
      <c r="ED58" s="2"/>
      <c r="EE58" s="2">
        <v>69252920</v>
      </c>
      <c r="EF58" s="2">
        <v>30</v>
      </c>
      <c r="EG58" s="2" t="s">
        <v>29</v>
      </c>
      <c r="EH58" s="2">
        <v>0</v>
      </c>
      <c r="EI58" s="2" t="s">
        <v>6</v>
      </c>
      <c r="EJ58" s="2">
        <v>1</v>
      </c>
      <c r="EK58" s="2">
        <v>295</v>
      </c>
      <c r="EL58" s="2" t="s">
        <v>30</v>
      </c>
      <c r="EM58" s="2" t="s">
        <v>31</v>
      </c>
      <c r="EN58" s="2"/>
      <c r="EO58" s="2" t="s">
        <v>6</v>
      </c>
      <c r="EP58" s="2"/>
      <c r="EQ58" s="2">
        <v>0</v>
      </c>
      <c r="ER58" s="2">
        <v>56.94</v>
      </c>
      <c r="ES58" s="2">
        <v>0</v>
      </c>
      <c r="ET58" s="2">
        <v>0</v>
      </c>
      <c r="EU58" s="2">
        <v>0</v>
      </c>
      <c r="EV58" s="2">
        <v>56.94</v>
      </c>
      <c r="EW58" s="2">
        <v>5.47</v>
      </c>
      <c r="EX58" s="2">
        <v>0</v>
      </c>
      <c r="EY58" s="2">
        <v>0</v>
      </c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>
        <v>0</v>
      </c>
      <c r="FR58" s="2">
        <f t="shared" si="93"/>
        <v>0</v>
      </c>
      <c r="FS58" s="2">
        <v>0</v>
      </c>
      <c r="FT58" s="2"/>
      <c r="FU58" s="2"/>
      <c r="FV58" s="2"/>
      <c r="FW58" s="2"/>
      <c r="FX58" s="2">
        <v>187</v>
      </c>
      <c r="FY58" s="2">
        <v>101</v>
      </c>
      <c r="FZ58" s="2"/>
      <c r="GA58" s="2" t="s">
        <v>6</v>
      </c>
      <c r="GB58" s="2"/>
      <c r="GC58" s="2"/>
      <c r="GD58" s="2">
        <v>0</v>
      </c>
      <c r="GE58" s="2"/>
      <c r="GF58" s="2">
        <v>1039409196</v>
      </c>
      <c r="GG58" s="2">
        <v>2</v>
      </c>
      <c r="GH58" s="2">
        <v>1</v>
      </c>
      <c r="GI58" s="2">
        <v>-2</v>
      </c>
      <c r="GJ58" s="2">
        <v>0</v>
      </c>
      <c r="GK58" s="2">
        <f>ROUND(R58*(R12)/100,2)</f>
        <v>0</v>
      </c>
      <c r="GL58" s="2">
        <f t="shared" si="94"/>
        <v>0</v>
      </c>
      <c r="GM58" s="2">
        <f t="shared" si="95"/>
        <v>-3534.83</v>
      </c>
      <c r="GN58" s="2">
        <f t="shared" si="96"/>
        <v>-3534.83</v>
      </c>
      <c r="GO58" s="2">
        <f t="shared" si="97"/>
        <v>0</v>
      </c>
      <c r="GP58" s="2">
        <f t="shared" si="98"/>
        <v>0</v>
      </c>
      <c r="GQ58" s="2"/>
      <c r="GR58" s="2">
        <v>0</v>
      </c>
      <c r="GS58" s="2">
        <v>3</v>
      </c>
      <c r="GT58" s="2">
        <v>0</v>
      </c>
      <c r="GU58" s="2" t="s">
        <v>62</v>
      </c>
      <c r="GV58" s="2">
        <f>ROUND(((GT58*2)),6)</f>
        <v>0</v>
      </c>
      <c r="GW58" s="2">
        <v>1</v>
      </c>
      <c r="GX58" s="2">
        <f t="shared" si="100"/>
        <v>0</v>
      </c>
      <c r="GY58" s="2"/>
      <c r="GZ58" s="2"/>
      <c r="HA58" s="2">
        <v>0</v>
      </c>
      <c r="HB58" s="2">
        <v>0</v>
      </c>
      <c r="HC58" s="2">
        <f t="shared" si="101"/>
        <v>0</v>
      </c>
      <c r="HD58" s="2"/>
      <c r="HE58" s="2" t="s">
        <v>6</v>
      </c>
      <c r="HF58" s="2" t="s">
        <v>6</v>
      </c>
      <c r="HG58" s="2"/>
      <c r="HH58" s="2"/>
      <c r="HI58" s="2"/>
      <c r="HJ58" s="2"/>
      <c r="HK58" s="2"/>
      <c r="HL58" s="2"/>
      <c r="HM58" s="2" t="s">
        <v>6</v>
      </c>
      <c r="HN58" s="2" t="s">
        <v>6</v>
      </c>
      <c r="HO58" s="2" t="s">
        <v>6</v>
      </c>
      <c r="HP58" s="2" t="s">
        <v>6</v>
      </c>
      <c r="HQ58" s="2" t="s">
        <v>6</v>
      </c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>
        <v>0</v>
      </c>
      <c r="IL58" s="2"/>
      <c r="IM58" s="2"/>
      <c r="IN58" s="2"/>
      <c r="IO58" s="2"/>
      <c r="IP58" s="2"/>
      <c r="IQ58" s="2"/>
      <c r="IR58" s="2"/>
      <c r="IS58" s="2"/>
      <c r="IT58" s="2"/>
      <c r="IU58" s="2"/>
    </row>
    <row r="59" spans="1:255">
      <c r="A59">
        <v>17</v>
      </c>
      <c r="B59">
        <v>1</v>
      </c>
      <c r="E59" t="s">
        <v>61</v>
      </c>
      <c r="F59" t="s">
        <v>43</v>
      </c>
      <c r="G59" t="s">
        <v>44</v>
      </c>
      <c r="H59" t="s">
        <v>27</v>
      </c>
      <c r="I59">
        <f>ROUND(-(I34+I38),9)</f>
        <v>-8</v>
      </c>
      <c r="J59">
        <v>0</v>
      </c>
      <c r="K59">
        <f>ROUND(-(I34+I38),9)</f>
        <v>-8</v>
      </c>
      <c r="O59">
        <f t="shared" si="66"/>
        <v>-42518.239999999998</v>
      </c>
      <c r="P59">
        <f t="shared" si="67"/>
        <v>0</v>
      </c>
      <c r="Q59">
        <f>(ROUND((ROUND((((ET59*2))*AV59*I59),2)*BB59),2)+ROUND((ROUND(((AE59-((EU59*2)))*AV59*I59),2)*BS59),2))</f>
        <v>0</v>
      </c>
      <c r="R59">
        <f t="shared" si="69"/>
        <v>0</v>
      </c>
      <c r="S59">
        <f t="shared" si="70"/>
        <v>-42518.239999999998</v>
      </c>
      <c r="T59">
        <f t="shared" si="71"/>
        <v>0</v>
      </c>
      <c r="U59">
        <f t="shared" si="72"/>
        <v>-87.52</v>
      </c>
      <c r="V59">
        <f t="shared" si="73"/>
        <v>0</v>
      </c>
      <c r="W59">
        <f t="shared" si="74"/>
        <v>0</v>
      </c>
      <c r="X59">
        <f t="shared" si="75"/>
        <v>-44644.15</v>
      </c>
      <c r="Y59">
        <f t="shared" si="76"/>
        <v>-20408.759999999998</v>
      </c>
      <c r="AA59">
        <v>70322059</v>
      </c>
      <c r="AB59">
        <f t="shared" si="77"/>
        <v>113.88</v>
      </c>
      <c r="AC59">
        <f>ROUND(((ES59*2)),6)</f>
        <v>0</v>
      </c>
      <c r="AD59">
        <f>ROUND(((((ET59*2))-((EU59*2)))+AE59),6)</f>
        <v>0</v>
      </c>
      <c r="AE59">
        <f>ROUND(((EU59*2)),6)</f>
        <v>0</v>
      </c>
      <c r="AF59">
        <f>ROUND(((EV59*2)),6)</f>
        <v>113.88</v>
      </c>
      <c r="AG59">
        <f t="shared" si="81"/>
        <v>0</v>
      </c>
      <c r="AH59">
        <f>((EW59*2))</f>
        <v>10.94</v>
      </c>
      <c r="AI59">
        <f>((EX59*2))</f>
        <v>0</v>
      </c>
      <c r="AJ59">
        <f t="shared" si="83"/>
        <v>0</v>
      </c>
      <c r="AK59">
        <v>56.94</v>
      </c>
      <c r="AL59">
        <v>0</v>
      </c>
      <c r="AM59">
        <v>0</v>
      </c>
      <c r="AN59">
        <v>0</v>
      </c>
      <c r="AO59">
        <v>56.94</v>
      </c>
      <c r="AP59">
        <v>0</v>
      </c>
      <c r="AQ59">
        <v>5.47</v>
      </c>
      <c r="AR59">
        <v>0</v>
      </c>
      <c r="AS59">
        <v>0</v>
      </c>
      <c r="AT59">
        <v>105</v>
      </c>
      <c r="AU59">
        <v>48</v>
      </c>
      <c r="AV59">
        <v>1</v>
      </c>
      <c r="AW59">
        <v>1</v>
      </c>
      <c r="AZ59">
        <v>1</v>
      </c>
      <c r="BA59">
        <v>46.67</v>
      </c>
      <c r="BB59">
        <v>1</v>
      </c>
      <c r="BC59">
        <v>1</v>
      </c>
      <c r="BD59" t="s">
        <v>6</v>
      </c>
      <c r="BE59" t="s">
        <v>6</v>
      </c>
      <c r="BF59" t="s">
        <v>6</v>
      </c>
      <c r="BG59" t="s">
        <v>6</v>
      </c>
      <c r="BH59">
        <v>0</v>
      </c>
      <c r="BI59">
        <v>1</v>
      </c>
      <c r="BJ59" t="s">
        <v>45</v>
      </c>
      <c r="BM59">
        <v>295</v>
      </c>
      <c r="BN59">
        <v>0</v>
      </c>
      <c r="BO59" t="s">
        <v>43</v>
      </c>
      <c r="BP59">
        <v>1</v>
      </c>
      <c r="BQ59">
        <v>30</v>
      </c>
      <c r="BR59">
        <v>0</v>
      </c>
      <c r="BS59">
        <v>46.67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6</v>
      </c>
      <c r="BZ59">
        <v>105</v>
      </c>
      <c r="CA59">
        <v>48</v>
      </c>
      <c r="CB59" t="s">
        <v>6</v>
      </c>
      <c r="CE59">
        <v>30</v>
      </c>
      <c r="CF59">
        <v>0</v>
      </c>
      <c r="CG59">
        <v>0</v>
      </c>
      <c r="CM59">
        <v>0</v>
      </c>
      <c r="CN59" t="s">
        <v>6</v>
      </c>
      <c r="CO59">
        <v>0</v>
      </c>
      <c r="CP59">
        <f t="shared" si="84"/>
        <v>-42518.239999999998</v>
      </c>
      <c r="CQ59">
        <f t="shared" si="85"/>
        <v>0</v>
      </c>
      <c r="CR59">
        <f>(ROUND((ROUND((((ET59*2))*AV59*1),2)*BB59),2)+ROUND((ROUND(((AE59-((EU59*2)))*AV59*1),2)*BS59),2))</f>
        <v>0</v>
      </c>
      <c r="CS59">
        <f t="shared" si="87"/>
        <v>0</v>
      </c>
      <c r="CT59">
        <f t="shared" si="88"/>
        <v>5314.78</v>
      </c>
      <c r="CU59">
        <f t="shared" si="89"/>
        <v>0</v>
      </c>
      <c r="CV59">
        <f t="shared" si="90"/>
        <v>10.94</v>
      </c>
      <c r="CW59">
        <f t="shared" si="91"/>
        <v>0</v>
      </c>
      <c r="CX59">
        <f t="shared" si="92"/>
        <v>0</v>
      </c>
      <c r="CY59">
        <f>S59*(BZ59/100)</f>
        <v>-44644.152000000002</v>
      </c>
      <c r="CZ59">
        <f>S59*(CA59/100)</f>
        <v>-20408.7552</v>
      </c>
      <c r="DC59" t="s">
        <v>6</v>
      </c>
      <c r="DD59" t="s">
        <v>62</v>
      </c>
      <c r="DE59" t="s">
        <v>62</v>
      </c>
      <c r="DF59" t="s">
        <v>62</v>
      </c>
      <c r="DG59" t="s">
        <v>62</v>
      </c>
      <c r="DH59" t="s">
        <v>6</v>
      </c>
      <c r="DI59" t="s">
        <v>62</v>
      </c>
      <c r="DJ59" t="s">
        <v>62</v>
      </c>
      <c r="DK59" t="s">
        <v>6</v>
      </c>
      <c r="DL59" t="s">
        <v>6</v>
      </c>
      <c r="DM59" t="s">
        <v>6</v>
      </c>
      <c r="DN59">
        <v>187</v>
      </c>
      <c r="DO59">
        <v>101</v>
      </c>
      <c r="DP59">
        <v>1</v>
      </c>
      <c r="DQ59">
        <v>1</v>
      </c>
      <c r="DU59">
        <v>1005</v>
      </c>
      <c r="DV59" t="s">
        <v>27</v>
      </c>
      <c r="DW59" t="s">
        <v>27</v>
      </c>
      <c r="DX59">
        <v>100</v>
      </c>
      <c r="DZ59" t="s">
        <v>6</v>
      </c>
      <c r="EA59" t="s">
        <v>6</v>
      </c>
      <c r="EB59" t="s">
        <v>6</v>
      </c>
      <c r="EC59" t="s">
        <v>6</v>
      </c>
      <c r="EE59">
        <v>69252920</v>
      </c>
      <c r="EF59">
        <v>30</v>
      </c>
      <c r="EG59" t="s">
        <v>29</v>
      </c>
      <c r="EH59">
        <v>0</v>
      </c>
      <c r="EI59" t="s">
        <v>6</v>
      </c>
      <c r="EJ59">
        <v>1</v>
      </c>
      <c r="EK59">
        <v>295</v>
      </c>
      <c r="EL59" t="s">
        <v>30</v>
      </c>
      <c r="EM59" t="s">
        <v>31</v>
      </c>
      <c r="EO59" t="s">
        <v>6</v>
      </c>
      <c r="EQ59">
        <v>0</v>
      </c>
      <c r="ER59">
        <v>56.94</v>
      </c>
      <c r="ES59">
        <v>0</v>
      </c>
      <c r="ET59">
        <v>0</v>
      </c>
      <c r="EU59">
        <v>0</v>
      </c>
      <c r="EV59">
        <v>56.94</v>
      </c>
      <c r="EW59">
        <v>5.47</v>
      </c>
      <c r="EX59">
        <v>0</v>
      </c>
      <c r="EY59">
        <v>0</v>
      </c>
      <c r="FQ59">
        <v>0</v>
      </c>
      <c r="FR59">
        <f t="shared" si="93"/>
        <v>0</v>
      </c>
      <c r="FS59">
        <v>0</v>
      </c>
      <c r="FX59">
        <v>187</v>
      </c>
      <c r="FY59">
        <v>101</v>
      </c>
      <c r="GA59" t="s">
        <v>6</v>
      </c>
      <c r="GD59">
        <v>0</v>
      </c>
      <c r="GF59">
        <v>1039409196</v>
      </c>
      <c r="GG59">
        <v>2</v>
      </c>
      <c r="GH59">
        <v>1</v>
      </c>
      <c r="GI59">
        <v>2</v>
      </c>
      <c r="GJ59">
        <v>0</v>
      </c>
      <c r="GK59">
        <f>ROUND(R59*(S12)/100,2)</f>
        <v>0</v>
      </c>
      <c r="GL59">
        <f t="shared" si="94"/>
        <v>0</v>
      </c>
      <c r="GM59">
        <f t="shared" si="95"/>
        <v>-107571.15</v>
      </c>
      <c r="GN59">
        <f t="shared" si="96"/>
        <v>-107571.15</v>
      </c>
      <c r="GO59">
        <f t="shared" si="97"/>
        <v>0</v>
      </c>
      <c r="GP59">
        <f t="shared" si="98"/>
        <v>0</v>
      </c>
      <c r="GR59">
        <v>0</v>
      </c>
      <c r="GS59">
        <v>0</v>
      </c>
      <c r="GT59">
        <v>0</v>
      </c>
      <c r="GU59" t="s">
        <v>62</v>
      </c>
      <c r="GV59">
        <f>ROUND(((GT59*2)),6)</f>
        <v>0</v>
      </c>
      <c r="GW59">
        <v>1</v>
      </c>
      <c r="GX59">
        <f t="shared" si="100"/>
        <v>0</v>
      </c>
      <c r="HA59">
        <v>0</v>
      </c>
      <c r="HB59">
        <v>0</v>
      </c>
      <c r="HC59">
        <f t="shared" si="101"/>
        <v>0</v>
      </c>
      <c r="HE59" t="s">
        <v>6</v>
      </c>
      <c r="HF59" t="s">
        <v>6</v>
      </c>
      <c r="HM59" t="s">
        <v>6</v>
      </c>
      <c r="HN59" t="s">
        <v>6</v>
      </c>
      <c r="HO59" t="s">
        <v>6</v>
      </c>
      <c r="HP59" t="s">
        <v>6</v>
      </c>
      <c r="HQ59" t="s">
        <v>6</v>
      </c>
      <c r="IK59">
        <v>0</v>
      </c>
    </row>
    <row r="60" spans="1:255">
      <c r="A60" s="2">
        <v>18</v>
      </c>
      <c r="B60" s="2">
        <v>1</v>
      </c>
      <c r="C60" s="2"/>
      <c r="D60" s="2"/>
      <c r="E60" s="2" t="s">
        <v>63</v>
      </c>
      <c r="F60" s="2" t="s">
        <v>33</v>
      </c>
      <c r="G60" s="2" t="s">
        <v>34</v>
      </c>
      <c r="H60" s="2" t="s">
        <v>35</v>
      </c>
      <c r="I60" s="2">
        <f>I58*J60</f>
        <v>-80</v>
      </c>
      <c r="J60" s="2">
        <v>10</v>
      </c>
      <c r="K60" s="2">
        <v>5</v>
      </c>
      <c r="L60" s="2"/>
      <c r="M60" s="2"/>
      <c r="N60" s="2"/>
      <c r="O60" s="2">
        <f t="shared" si="66"/>
        <v>-11747.2</v>
      </c>
      <c r="P60" s="2">
        <f t="shared" si="67"/>
        <v>-11747.2</v>
      </c>
      <c r="Q60" s="2">
        <f t="shared" ref="Q60:Q65" si="102">(ROUND((ROUND(((ET60)*AV60*I60),2)*BB60),2)+ROUND((ROUND(((AE60-(EU60))*AV60*I60),2)*BS60),2))</f>
        <v>0</v>
      </c>
      <c r="R60" s="2">
        <f t="shared" si="69"/>
        <v>0</v>
      </c>
      <c r="S60" s="2">
        <f t="shared" si="70"/>
        <v>0</v>
      </c>
      <c r="T60" s="2">
        <f t="shared" si="71"/>
        <v>0</v>
      </c>
      <c r="U60" s="2">
        <f t="shared" si="72"/>
        <v>0</v>
      </c>
      <c r="V60" s="2">
        <f t="shared" si="73"/>
        <v>0</v>
      </c>
      <c r="W60" s="2">
        <f t="shared" si="74"/>
        <v>0</v>
      </c>
      <c r="X60" s="2">
        <f t="shared" si="75"/>
        <v>0</v>
      </c>
      <c r="Y60" s="2">
        <f t="shared" si="76"/>
        <v>0</v>
      </c>
      <c r="Z60" s="2"/>
      <c r="AA60" s="2">
        <v>70322058</v>
      </c>
      <c r="AB60" s="2">
        <f t="shared" si="77"/>
        <v>146.84</v>
      </c>
      <c r="AC60" s="2">
        <f t="shared" ref="AC60:AC65" si="103">ROUND((ES60),6)</f>
        <v>146.84</v>
      </c>
      <c r="AD60" s="2">
        <f t="shared" ref="AD60:AD65" si="104">ROUND((((ET60)-(EU60))+AE60),6)</f>
        <v>0</v>
      </c>
      <c r="AE60" s="2">
        <f t="shared" ref="AE60:AF65" si="105">ROUND((EU60),6)</f>
        <v>0</v>
      </c>
      <c r="AF60" s="2">
        <f t="shared" si="105"/>
        <v>0</v>
      </c>
      <c r="AG60" s="2">
        <f t="shared" si="81"/>
        <v>0</v>
      </c>
      <c r="AH60" s="2">
        <f t="shared" ref="AH60:AI65" si="106">(EW60)</f>
        <v>0</v>
      </c>
      <c r="AI60" s="2">
        <f t="shared" si="106"/>
        <v>0</v>
      </c>
      <c r="AJ60" s="2">
        <f t="shared" si="83"/>
        <v>0</v>
      </c>
      <c r="AK60" s="2">
        <v>146.84</v>
      </c>
      <c r="AL60" s="2">
        <v>146.84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187</v>
      </c>
      <c r="AU60" s="2">
        <v>101</v>
      </c>
      <c r="AV60" s="2">
        <v>1</v>
      </c>
      <c r="AW60" s="2">
        <v>1</v>
      </c>
      <c r="AX60" s="2"/>
      <c r="AY60" s="2"/>
      <c r="AZ60" s="2">
        <v>1</v>
      </c>
      <c r="BA60" s="2">
        <v>1</v>
      </c>
      <c r="BB60" s="2">
        <v>1</v>
      </c>
      <c r="BC60" s="2">
        <v>1</v>
      </c>
      <c r="BD60" s="2" t="s">
        <v>6</v>
      </c>
      <c r="BE60" s="2" t="s">
        <v>6</v>
      </c>
      <c r="BF60" s="2" t="s">
        <v>6</v>
      </c>
      <c r="BG60" s="2" t="s">
        <v>6</v>
      </c>
      <c r="BH60" s="2">
        <v>3</v>
      </c>
      <c r="BI60" s="2">
        <v>1</v>
      </c>
      <c r="BJ60" s="2" t="s">
        <v>36</v>
      </c>
      <c r="BK60" s="2"/>
      <c r="BL60" s="2"/>
      <c r="BM60" s="2">
        <v>295</v>
      </c>
      <c r="BN60" s="2">
        <v>0</v>
      </c>
      <c r="BO60" s="2" t="s">
        <v>6</v>
      </c>
      <c r="BP60" s="2">
        <v>0</v>
      </c>
      <c r="BQ60" s="2">
        <v>30</v>
      </c>
      <c r="BR60" s="2">
        <v>0</v>
      </c>
      <c r="BS60" s="2">
        <v>1</v>
      </c>
      <c r="BT60" s="2">
        <v>1</v>
      </c>
      <c r="BU60" s="2">
        <v>1</v>
      </c>
      <c r="BV60" s="2">
        <v>1</v>
      </c>
      <c r="BW60" s="2">
        <v>1</v>
      </c>
      <c r="BX60" s="2">
        <v>1</v>
      </c>
      <c r="BY60" s="2" t="s">
        <v>6</v>
      </c>
      <c r="BZ60" s="2">
        <v>187</v>
      </c>
      <c r="CA60" s="2">
        <v>101</v>
      </c>
      <c r="CB60" s="2" t="s">
        <v>6</v>
      </c>
      <c r="CC60" s="2"/>
      <c r="CD60" s="2"/>
      <c r="CE60" s="2">
        <v>30</v>
      </c>
      <c r="CF60" s="2">
        <v>0</v>
      </c>
      <c r="CG60" s="2">
        <v>0</v>
      </c>
      <c r="CH60" s="2"/>
      <c r="CI60" s="2"/>
      <c r="CJ60" s="2"/>
      <c r="CK60" s="2"/>
      <c r="CL60" s="2"/>
      <c r="CM60" s="2">
        <v>0</v>
      </c>
      <c r="CN60" s="2" t="s">
        <v>6</v>
      </c>
      <c r="CO60" s="2">
        <v>0</v>
      </c>
      <c r="CP60" s="2">
        <f t="shared" si="84"/>
        <v>-11747.2</v>
      </c>
      <c r="CQ60" s="2">
        <f t="shared" si="85"/>
        <v>146.84</v>
      </c>
      <c r="CR60" s="2">
        <f t="shared" ref="CR60:CR65" si="107">(ROUND((ROUND(((ET60)*AV60*1),2)*BB60),2)+ROUND((ROUND(((AE60-(EU60))*AV60*1),2)*BS60),2))</f>
        <v>0</v>
      </c>
      <c r="CS60" s="2">
        <f t="shared" si="87"/>
        <v>0</v>
      </c>
      <c r="CT60" s="2">
        <f t="shared" si="88"/>
        <v>0</v>
      </c>
      <c r="CU60" s="2">
        <f t="shared" si="89"/>
        <v>0</v>
      </c>
      <c r="CV60" s="2">
        <f t="shared" si="90"/>
        <v>0</v>
      </c>
      <c r="CW60" s="2">
        <f t="shared" si="91"/>
        <v>0</v>
      </c>
      <c r="CX60" s="2">
        <f t="shared" si="92"/>
        <v>0</v>
      </c>
      <c r="CY60" s="2">
        <f>((S60*BZ60)/100)</f>
        <v>0</v>
      </c>
      <c r="CZ60" s="2">
        <f>((S60*CA60)/100)</f>
        <v>0</v>
      </c>
      <c r="DA60" s="2"/>
      <c r="DB60" s="2"/>
      <c r="DC60" s="2" t="s">
        <v>6</v>
      </c>
      <c r="DD60" s="2" t="s">
        <v>6</v>
      </c>
      <c r="DE60" s="2" t="s">
        <v>6</v>
      </c>
      <c r="DF60" s="2" t="s">
        <v>6</v>
      </c>
      <c r="DG60" s="2" t="s">
        <v>6</v>
      </c>
      <c r="DH60" s="2" t="s">
        <v>6</v>
      </c>
      <c r="DI60" s="2" t="s">
        <v>6</v>
      </c>
      <c r="DJ60" s="2" t="s">
        <v>6</v>
      </c>
      <c r="DK60" s="2" t="s">
        <v>6</v>
      </c>
      <c r="DL60" s="2" t="s">
        <v>6</v>
      </c>
      <c r="DM60" s="2" t="s">
        <v>6</v>
      </c>
      <c r="DN60" s="2">
        <v>0</v>
      </c>
      <c r="DO60" s="2">
        <v>0</v>
      </c>
      <c r="DP60" s="2">
        <v>1</v>
      </c>
      <c r="DQ60" s="2">
        <v>1</v>
      </c>
      <c r="DR60" s="2"/>
      <c r="DS60" s="2"/>
      <c r="DT60" s="2"/>
      <c r="DU60" s="2">
        <v>1007</v>
      </c>
      <c r="DV60" s="2" t="s">
        <v>35</v>
      </c>
      <c r="DW60" s="2" t="s">
        <v>35</v>
      </c>
      <c r="DX60" s="2">
        <v>1</v>
      </c>
      <c r="DY60" s="2"/>
      <c r="DZ60" s="2" t="s">
        <v>6</v>
      </c>
      <c r="EA60" s="2" t="s">
        <v>6</v>
      </c>
      <c r="EB60" s="2" t="s">
        <v>6</v>
      </c>
      <c r="EC60" s="2" t="s">
        <v>6</v>
      </c>
      <c r="ED60" s="2"/>
      <c r="EE60" s="2">
        <v>69252920</v>
      </c>
      <c r="EF60" s="2">
        <v>30</v>
      </c>
      <c r="EG60" s="2" t="s">
        <v>29</v>
      </c>
      <c r="EH60" s="2">
        <v>0</v>
      </c>
      <c r="EI60" s="2" t="s">
        <v>6</v>
      </c>
      <c r="EJ60" s="2">
        <v>1</v>
      </c>
      <c r="EK60" s="2">
        <v>295</v>
      </c>
      <c r="EL60" s="2" t="s">
        <v>30</v>
      </c>
      <c r="EM60" s="2" t="s">
        <v>31</v>
      </c>
      <c r="EN60" s="2"/>
      <c r="EO60" s="2" t="s">
        <v>6</v>
      </c>
      <c r="EP60" s="2"/>
      <c r="EQ60" s="2">
        <v>0</v>
      </c>
      <c r="ER60" s="2">
        <v>146.84</v>
      </c>
      <c r="ES60" s="2">
        <v>146.84</v>
      </c>
      <c r="ET60" s="2">
        <v>0</v>
      </c>
      <c r="EU60" s="2">
        <v>0</v>
      </c>
      <c r="EV60" s="2">
        <v>0</v>
      </c>
      <c r="EW60" s="2">
        <v>0</v>
      </c>
      <c r="EX60" s="2">
        <v>0</v>
      </c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>
        <v>0</v>
      </c>
      <c r="FR60" s="2">
        <f t="shared" si="93"/>
        <v>0</v>
      </c>
      <c r="FS60" s="2">
        <v>0</v>
      </c>
      <c r="FT60" s="2"/>
      <c r="FU60" s="2"/>
      <c r="FV60" s="2"/>
      <c r="FW60" s="2"/>
      <c r="FX60" s="2">
        <v>187</v>
      </c>
      <c r="FY60" s="2">
        <v>101</v>
      </c>
      <c r="FZ60" s="2"/>
      <c r="GA60" s="2" t="s">
        <v>6</v>
      </c>
      <c r="GB60" s="2"/>
      <c r="GC60" s="2"/>
      <c r="GD60" s="2">
        <v>0</v>
      </c>
      <c r="GE60" s="2"/>
      <c r="GF60" s="2">
        <v>331308664</v>
      </c>
      <c r="GG60" s="2">
        <v>2</v>
      </c>
      <c r="GH60" s="2">
        <v>1</v>
      </c>
      <c r="GI60" s="2">
        <v>-2</v>
      </c>
      <c r="GJ60" s="2">
        <v>0</v>
      </c>
      <c r="GK60" s="2">
        <f>ROUND(R60*(R12)/100,2)</f>
        <v>0</v>
      </c>
      <c r="GL60" s="2">
        <f t="shared" si="94"/>
        <v>0</v>
      </c>
      <c r="GM60" s="2">
        <f t="shared" si="95"/>
        <v>-11747.2</v>
      </c>
      <c r="GN60" s="2">
        <f t="shared" si="96"/>
        <v>-11747.2</v>
      </c>
      <c r="GO60" s="2">
        <f t="shared" si="97"/>
        <v>0</v>
      </c>
      <c r="GP60" s="2">
        <f t="shared" si="98"/>
        <v>0</v>
      </c>
      <c r="GQ60" s="2"/>
      <c r="GR60" s="2">
        <v>0</v>
      </c>
      <c r="GS60" s="2">
        <v>3</v>
      </c>
      <c r="GT60" s="2">
        <v>0</v>
      </c>
      <c r="GU60" s="2" t="s">
        <v>6</v>
      </c>
      <c r="GV60" s="2">
        <f t="shared" ref="GV60:GV65" si="108">ROUND((GT60),6)</f>
        <v>0</v>
      </c>
      <c r="GW60" s="2">
        <v>1</v>
      </c>
      <c r="GX60" s="2">
        <f t="shared" si="100"/>
        <v>0</v>
      </c>
      <c r="GY60" s="2"/>
      <c r="GZ60" s="2"/>
      <c r="HA60" s="2">
        <v>0</v>
      </c>
      <c r="HB60" s="2">
        <v>0</v>
      </c>
      <c r="HC60" s="2">
        <f t="shared" si="101"/>
        <v>0</v>
      </c>
      <c r="HD60" s="2"/>
      <c r="HE60" s="2" t="s">
        <v>6</v>
      </c>
      <c r="HF60" s="2" t="s">
        <v>6</v>
      </c>
      <c r="HG60" s="2"/>
      <c r="HH60" s="2"/>
      <c r="HI60" s="2"/>
      <c r="HJ60" s="2"/>
      <c r="HK60" s="2"/>
      <c r="HL60" s="2"/>
      <c r="HM60" s="2" t="s">
        <v>62</v>
      </c>
      <c r="HN60" s="2" t="s">
        <v>6</v>
      </c>
      <c r="HO60" s="2" t="s">
        <v>6</v>
      </c>
      <c r="HP60" s="2" t="s">
        <v>6</v>
      </c>
      <c r="HQ60" s="2" t="s">
        <v>6</v>
      </c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>
        <v>0</v>
      </c>
      <c r="IL60" s="2"/>
      <c r="IM60" s="2"/>
      <c r="IN60" s="2"/>
      <c r="IO60" s="2"/>
      <c r="IP60" s="2"/>
      <c r="IQ60" s="2"/>
      <c r="IR60" s="2"/>
      <c r="IS60" s="2"/>
      <c r="IT60" s="2"/>
      <c r="IU60" s="2"/>
    </row>
    <row r="61" spans="1:255">
      <c r="A61">
        <v>18</v>
      </c>
      <c r="B61">
        <v>1</v>
      </c>
      <c r="E61" t="s">
        <v>63</v>
      </c>
      <c r="F61" t="s">
        <v>33</v>
      </c>
      <c r="G61" t="s">
        <v>34</v>
      </c>
      <c r="H61" t="s">
        <v>35</v>
      </c>
      <c r="I61">
        <f>I59*J61</f>
        <v>-80</v>
      </c>
      <c r="J61">
        <v>10</v>
      </c>
      <c r="K61">
        <v>5</v>
      </c>
      <c r="O61">
        <f t="shared" si="66"/>
        <v>-91745.63</v>
      </c>
      <c r="P61">
        <f t="shared" si="67"/>
        <v>-91745.63</v>
      </c>
      <c r="Q61">
        <f t="shared" si="102"/>
        <v>0</v>
      </c>
      <c r="R61">
        <f t="shared" si="69"/>
        <v>0</v>
      </c>
      <c r="S61">
        <f t="shared" si="70"/>
        <v>0</v>
      </c>
      <c r="T61">
        <f t="shared" si="71"/>
        <v>0</v>
      </c>
      <c r="U61">
        <f t="shared" si="72"/>
        <v>0</v>
      </c>
      <c r="V61">
        <f t="shared" si="73"/>
        <v>0</v>
      </c>
      <c r="W61">
        <f t="shared" si="74"/>
        <v>0</v>
      </c>
      <c r="X61">
        <f t="shared" si="75"/>
        <v>0</v>
      </c>
      <c r="Y61">
        <f t="shared" si="76"/>
        <v>0</v>
      </c>
      <c r="AA61">
        <v>70322059</v>
      </c>
      <c r="AB61">
        <f t="shared" si="77"/>
        <v>146.84</v>
      </c>
      <c r="AC61">
        <f t="shared" si="103"/>
        <v>146.84</v>
      </c>
      <c r="AD61">
        <f t="shared" si="104"/>
        <v>0</v>
      </c>
      <c r="AE61">
        <f t="shared" si="105"/>
        <v>0</v>
      </c>
      <c r="AF61">
        <f t="shared" si="105"/>
        <v>0</v>
      </c>
      <c r="AG61">
        <f t="shared" si="81"/>
        <v>0</v>
      </c>
      <c r="AH61">
        <f t="shared" si="106"/>
        <v>0</v>
      </c>
      <c r="AI61">
        <f t="shared" si="106"/>
        <v>0</v>
      </c>
      <c r="AJ61">
        <f t="shared" si="83"/>
        <v>0</v>
      </c>
      <c r="AK61">
        <v>146.84</v>
      </c>
      <c r="AL61">
        <v>146.84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1</v>
      </c>
      <c r="AW61">
        <v>1</v>
      </c>
      <c r="AZ61">
        <v>1</v>
      </c>
      <c r="BA61">
        <v>1</v>
      </c>
      <c r="BB61">
        <v>1</v>
      </c>
      <c r="BC61">
        <v>7.81</v>
      </c>
      <c r="BD61" t="s">
        <v>6</v>
      </c>
      <c r="BE61" t="s">
        <v>6</v>
      </c>
      <c r="BF61" t="s">
        <v>6</v>
      </c>
      <c r="BG61" t="s">
        <v>6</v>
      </c>
      <c r="BH61">
        <v>3</v>
      </c>
      <c r="BI61">
        <v>1</v>
      </c>
      <c r="BJ61" t="s">
        <v>36</v>
      </c>
      <c r="BM61">
        <v>295</v>
      </c>
      <c r="BN61">
        <v>0</v>
      </c>
      <c r="BO61" t="s">
        <v>33</v>
      </c>
      <c r="BP61">
        <v>1</v>
      </c>
      <c r="BQ61">
        <v>30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6</v>
      </c>
      <c r="BZ61">
        <v>0</v>
      </c>
      <c r="CA61">
        <v>0</v>
      </c>
      <c r="CB61" t="s">
        <v>6</v>
      </c>
      <c r="CE61">
        <v>30</v>
      </c>
      <c r="CF61">
        <v>0</v>
      </c>
      <c r="CG61">
        <v>0</v>
      </c>
      <c r="CM61">
        <v>0</v>
      </c>
      <c r="CN61" t="s">
        <v>6</v>
      </c>
      <c r="CO61">
        <v>0</v>
      </c>
      <c r="CP61">
        <f t="shared" si="84"/>
        <v>-91745.63</v>
      </c>
      <c r="CQ61">
        <f t="shared" si="85"/>
        <v>1146.82</v>
      </c>
      <c r="CR61">
        <f t="shared" si="107"/>
        <v>0</v>
      </c>
      <c r="CS61">
        <f t="shared" si="87"/>
        <v>0</v>
      </c>
      <c r="CT61">
        <f t="shared" si="88"/>
        <v>0</v>
      </c>
      <c r="CU61">
        <f t="shared" si="89"/>
        <v>0</v>
      </c>
      <c r="CV61">
        <f t="shared" si="90"/>
        <v>0</v>
      </c>
      <c r="CW61">
        <f t="shared" si="91"/>
        <v>0</v>
      </c>
      <c r="CX61">
        <f t="shared" si="92"/>
        <v>0</v>
      </c>
      <c r="CY61">
        <f>S61*(BZ61/100)</f>
        <v>0</v>
      </c>
      <c r="CZ61">
        <f>S61*(CA61/100)</f>
        <v>0</v>
      </c>
      <c r="DC61" t="s">
        <v>6</v>
      </c>
      <c r="DD61" t="s">
        <v>6</v>
      </c>
      <c r="DE61" t="s">
        <v>6</v>
      </c>
      <c r="DF61" t="s">
        <v>6</v>
      </c>
      <c r="DG61" t="s">
        <v>6</v>
      </c>
      <c r="DH61" t="s">
        <v>6</v>
      </c>
      <c r="DI61" t="s">
        <v>6</v>
      </c>
      <c r="DJ61" t="s">
        <v>6</v>
      </c>
      <c r="DK61" t="s">
        <v>6</v>
      </c>
      <c r="DL61" t="s">
        <v>6</v>
      </c>
      <c r="DM61" t="s">
        <v>6</v>
      </c>
      <c r="DN61">
        <v>187</v>
      </c>
      <c r="DO61">
        <v>101</v>
      </c>
      <c r="DP61">
        <v>1</v>
      </c>
      <c r="DQ61">
        <v>1</v>
      </c>
      <c r="DU61">
        <v>1007</v>
      </c>
      <c r="DV61" t="s">
        <v>35</v>
      </c>
      <c r="DW61" t="s">
        <v>35</v>
      </c>
      <c r="DX61">
        <v>1</v>
      </c>
      <c r="DZ61" t="s">
        <v>6</v>
      </c>
      <c r="EA61" t="s">
        <v>6</v>
      </c>
      <c r="EB61" t="s">
        <v>6</v>
      </c>
      <c r="EC61" t="s">
        <v>6</v>
      </c>
      <c r="EE61">
        <v>69252920</v>
      </c>
      <c r="EF61">
        <v>30</v>
      </c>
      <c r="EG61" t="s">
        <v>29</v>
      </c>
      <c r="EH61">
        <v>0</v>
      </c>
      <c r="EI61" t="s">
        <v>6</v>
      </c>
      <c r="EJ61">
        <v>1</v>
      </c>
      <c r="EK61">
        <v>295</v>
      </c>
      <c r="EL61" t="s">
        <v>30</v>
      </c>
      <c r="EM61" t="s">
        <v>31</v>
      </c>
      <c r="EO61" t="s">
        <v>6</v>
      </c>
      <c r="EQ61">
        <v>0</v>
      </c>
      <c r="ER61">
        <v>146.84</v>
      </c>
      <c r="ES61">
        <v>146.84</v>
      </c>
      <c r="ET61">
        <v>0</v>
      </c>
      <c r="EU61">
        <v>0</v>
      </c>
      <c r="EV61">
        <v>0</v>
      </c>
      <c r="EW61">
        <v>0</v>
      </c>
      <c r="EX61">
        <v>0</v>
      </c>
      <c r="FQ61">
        <v>0</v>
      </c>
      <c r="FR61">
        <f t="shared" si="93"/>
        <v>0</v>
      </c>
      <c r="FS61">
        <v>0</v>
      </c>
      <c r="FX61">
        <v>187</v>
      </c>
      <c r="FY61">
        <v>101</v>
      </c>
      <c r="GA61" t="s">
        <v>6</v>
      </c>
      <c r="GD61">
        <v>0</v>
      </c>
      <c r="GF61">
        <v>331308664</v>
      </c>
      <c r="GG61">
        <v>2</v>
      </c>
      <c r="GH61">
        <v>1</v>
      </c>
      <c r="GI61">
        <v>2</v>
      </c>
      <c r="GJ61">
        <v>0</v>
      </c>
      <c r="GK61">
        <f>ROUND(R61*(S12)/100,2)</f>
        <v>0</v>
      </c>
      <c r="GL61">
        <f t="shared" si="94"/>
        <v>0</v>
      </c>
      <c r="GM61">
        <f t="shared" si="95"/>
        <v>-91745.63</v>
      </c>
      <c r="GN61">
        <f t="shared" si="96"/>
        <v>-91745.63</v>
      </c>
      <c r="GO61">
        <f t="shared" si="97"/>
        <v>0</v>
      </c>
      <c r="GP61">
        <f t="shared" si="98"/>
        <v>0</v>
      </c>
      <c r="GR61">
        <v>0</v>
      </c>
      <c r="GS61">
        <v>0</v>
      </c>
      <c r="GT61">
        <v>0</v>
      </c>
      <c r="GU61" t="s">
        <v>6</v>
      </c>
      <c r="GV61">
        <f t="shared" si="108"/>
        <v>0</v>
      </c>
      <c r="GW61">
        <v>1</v>
      </c>
      <c r="GX61">
        <f t="shared" si="100"/>
        <v>0</v>
      </c>
      <c r="HA61">
        <v>0</v>
      </c>
      <c r="HB61">
        <v>0</v>
      </c>
      <c r="HC61">
        <f t="shared" si="101"/>
        <v>0</v>
      </c>
      <c r="HE61" t="s">
        <v>6</v>
      </c>
      <c r="HF61" t="s">
        <v>6</v>
      </c>
      <c r="HM61" t="s">
        <v>62</v>
      </c>
      <c r="HN61" t="s">
        <v>6</v>
      </c>
      <c r="HO61" t="s">
        <v>6</v>
      </c>
      <c r="HP61" t="s">
        <v>6</v>
      </c>
      <c r="HQ61" t="s">
        <v>6</v>
      </c>
      <c r="IK61">
        <v>0</v>
      </c>
    </row>
    <row r="62" spans="1:255">
      <c r="A62" s="2">
        <v>17</v>
      </c>
      <c r="B62" s="2">
        <v>1</v>
      </c>
      <c r="C62" s="2"/>
      <c r="D62" s="2"/>
      <c r="E62" s="2" t="s">
        <v>64</v>
      </c>
      <c r="F62" s="2" t="s">
        <v>48</v>
      </c>
      <c r="G62" s="2" t="s">
        <v>49</v>
      </c>
      <c r="H62" s="2" t="s">
        <v>27</v>
      </c>
      <c r="I62" s="2">
        <f>ROUND(I41,9)</f>
        <v>8</v>
      </c>
      <c r="J62" s="2">
        <v>0</v>
      </c>
      <c r="K62" s="2">
        <f>ROUND(I41,9)</f>
        <v>8</v>
      </c>
      <c r="L62" s="2"/>
      <c r="M62" s="2"/>
      <c r="N62" s="2"/>
      <c r="O62" s="2">
        <f t="shared" si="66"/>
        <v>1035.2</v>
      </c>
      <c r="P62" s="2">
        <f t="shared" si="67"/>
        <v>565.6</v>
      </c>
      <c r="Q62" s="2">
        <f t="shared" si="102"/>
        <v>0</v>
      </c>
      <c r="R62" s="2">
        <f t="shared" si="69"/>
        <v>0</v>
      </c>
      <c r="S62" s="2">
        <f t="shared" si="70"/>
        <v>469.6</v>
      </c>
      <c r="T62" s="2">
        <f t="shared" si="71"/>
        <v>0</v>
      </c>
      <c r="U62" s="2">
        <f t="shared" si="72"/>
        <v>42</v>
      </c>
      <c r="V62" s="2">
        <f t="shared" si="73"/>
        <v>0</v>
      </c>
      <c r="W62" s="2">
        <f t="shared" si="74"/>
        <v>0</v>
      </c>
      <c r="X62" s="2">
        <f t="shared" si="75"/>
        <v>878.15</v>
      </c>
      <c r="Y62" s="2">
        <f t="shared" si="76"/>
        <v>474.3</v>
      </c>
      <c r="Z62" s="2"/>
      <c r="AA62" s="2">
        <v>70322058</v>
      </c>
      <c r="AB62" s="2">
        <f t="shared" si="77"/>
        <v>129.4</v>
      </c>
      <c r="AC62" s="2">
        <f t="shared" si="103"/>
        <v>70.7</v>
      </c>
      <c r="AD62" s="2">
        <f t="shared" si="104"/>
        <v>0</v>
      </c>
      <c r="AE62" s="2">
        <f t="shared" si="105"/>
        <v>0</v>
      </c>
      <c r="AF62" s="2">
        <f t="shared" si="105"/>
        <v>58.7</v>
      </c>
      <c r="AG62" s="2">
        <f t="shared" si="81"/>
        <v>0</v>
      </c>
      <c r="AH62" s="2">
        <f t="shared" si="106"/>
        <v>5.25</v>
      </c>
      <c r="AI62" s="2">
        <f t="shared" si="106"/>
        <v>0</v>
      </c>
      <c r="AJ62" s="2">
        <f t="shared" si="83"/>
        <v>0</v>
      </c>
      <c r="AK62" s="2">
        <v>129.4</v>
      </c>
      <c r="AL62" s="2">
        <v>70.7</v>
      </c>
      <c r="AM62" s="2">
        <v>0</v>
      </c>
      <c r="AN62" s="2">
        <v>0</v>
      </c>
      <c r="AO62" s="2">
        <v>58.7</v>
      </c>
      <c r="AP62" s="2">
        <v>0</v>
      </c>
      <c r="AQ62" s="2">
        <v>5.25</v>
      </c>
      <c r="AR62" s="2">
        <v>0</v>
      </c>
      <c r="AS62" s="2">
        <v>0</v>
      </c>
      <c r="AT62" s="2">
        <v>187</v>
      </c>
      <c r="AU62" s="2">
        <v>101</v>
      </c>
      <c r="AV62" s="2">
        <v>1</v>
      </c>
      <c r="AW62" s="2">
        <v>1</v>
      </c>
      <c r="AX62" s="2"/>
      <c r="AY62" s="2"/>
      <c r="AZ62" s="2">
        <v>1</v>
      </c>
      <c r="BA62" s="2">
        <v>1</v>
      </c>
      <c r="BB62" s="2">
        <v>1</v>
      </c>
      <c r="BC62" s="2">
        <v>1</v>
      </c>
      <c r="BD62" s="2" t="s">
        <v>6</v>
      </c>
      <c r="BE62" s="2" t="s">
        <v>6</v>
      </c>
      <c r="BF62" s="2" t="s">
        <v>6</v>
      </c>
      <c r="BG62" s="2" t="s">
        <v>6</v>
      </c>
      <c r="BH62" s="2">
        <v>0</v>
      </c>
      <c r="BI62" s="2">
        <v>1</v>
      </c>
      <c r="BJ62" s="2" t="s">
        <v>50</v>
      </c>
      <c r="BK62" s="2"/>
      <c r="BL62" s="2"/>
      <c r="BM62" s="2">
        <v>295</v>
      </c>
      <c r="BN62" s="2">
        <v>0</v>
      </c>
      <c r="BO62" s="2" t="s">
        <v>6</v>
      </c>
      <c r="BP62" s="2">
        <v>0</v>
      </c>
      <c r="BQ62" s="2">
        <v>30</v>
      </c>
      <c r="BR62" s="2">
        <v>0</v>
      </c>
      <c r="BS62" s="2">
        <v>1</v>
      </c>
      <c r="BT62" s="2">
        <v>1</v>
      </c>
      <c r="BU62" s="2">
        <v>1</v>
      </c>
      <c r="BV62" s="2">
        <v>1</v>
      </c>
      <c r="BW62" s="2">
        <v>1</v>
      </c>
      <c r="BX62" s="2">
        <v>1</v>
      </c>
      <c r="BY62" s="2" t="s">
        <v>6</v>
      </c>
      <c r="BZ62" s="2">
        <v>187</v>
      </c>
      <c r="CA62" s="2">
        <v>101</v>
      </c>
      <c r="CB62" s="2" t="s">
        <v>6</v>
      </c>
      <c r="CC62" s="2"/>
      <c r="CD62" s="2"/>
      <c r="CE62" s="2">
        <v>30</v>
      </c>
      <c r="CF62" s="2">
        <v>0</v>
      </c>
      <c r="CG62" s="2">
        <v>0</v>
      </c>
      <c r="CH62" s="2"/>
      <c r="CI62" s="2"/>
      <c r="CJ62" s="2"/>
      <c r="CK62" s="2"/>
      <c r="CL62" s="2"/>
      <c r="CM62" s="2">
        <v>0</v>
      </c>
      <c r="CN62" s="2" t="s">
        <v>6</v>
      </c>
      <c r="CO62" s="2">
        <v>0</v>
      </c>
      <c r="CP62" s="2">
        <f t="shared" si="84"/>
        <v>1035.2</v>
      </c>
      <c r="CQ62" s="2">
        <f t="shared" si="85"/>
        <v>70.7</v>
      </c>
      <c r="CR62" s="2">
        <f t="shared" si="107"/>
        <v>0</v>
      </c>
      <c r="CS62" s="2">
        <f t="shared" si="87"/>
        <v>0</v>
      </c>
      <c r="CT62" s="2">
        <f t="shared" si="88"/>
        <v>58.7</v>
      </c>
      <c r="CU62" s="2">
        <f t="shared" si="89"/>
        <v>0</v>
      </c>
      <c r="CV62" s="2">
        <f t="shared" si="90"/>
        <v>5.25</v>
      </c>
      <c r="CW62" s="2">
        <f t="shared" si="91"/>
        <v>0</v>
      </c>
      <c r="CX62" s="2">
        <f t="shared" si="92"/>
        <v>0</v>
      </c>
      <c r="CY62" s="2">
        <f>((S62*BZ62)/100)</f>
        <v>878.15199999999993</v>
      </c>
      <c r="CZ62" s="2">
        <f>((S62*CA62)/100)</f>
        <v>474.29600000000005</v>
      </c>
      <c r="DA62" s="2"/>
      <c r="DB62" s="2"/>
      <c r="DC62" s="2" t="s">
        <v>6</v>
      </c>
      <c r="DD62" s="2" t="s">
        <v>6</v>
      </c>
      <c r="DE62" s="2" t="s">
        <v>6</v>
      </c>
      <c r="DF62" s="2" t="s">
        <v>6</v>
      </c>
      <c r="DG62" s="2" t="s">
        <v>6</v>
      </c>
      <c r="DH62" s="2" t="s">
        <v>6</v>
      </c>
      <c r="DI62" s="2" t="s">
        <v>6</v>
      </c>
      <c r="DJ62" s="2" t="s">
        <v>6</v>
      </c>
      <c r="DK62" s="2" t="s">
        <v>6</v>
      </c>
      <c r="DL62" s="2" t="s">
        <v>6</v>
      </c>
      <c r="DM62" s="2" t="s">
        <v>6</v>
      </c>
      <c r="DN62" s="2">
        <v>0</v>
      </c>
      <c r="DO62" s="2">
        <v>0</v>
      </c>
      <c r="DP62" s="2">
        <v>1</v>
      </c>
      <c r="DQ62" s="2">
        <v>1</v>
      </c>
      <c r="DR62" s="2"/>
      <c r="DS62" s="2"/>
      <c r="DT62" s="2"/>
      <c r="DU62" s="2">
        <v>1005</v>
      </c>
      <c r="DV62" s="2" t="s">
        <v>27</v>
      </c>
      <c r="DW62" s="2" t="s">
        <v>27</v>
      </c>
      <c r="DX62" s="2">
        <v>100</v>
      </c>
      <c r="DY62" s="2"/>
      <c r="DZ62" s="2" t="s">
        <v>6</v>
      </c>
      <c r="EA62" s="2" t="s">
        <v>6</v>
      </c>
      <c r="EB62" s="2" t="s">
        <v>6</v>
      </c>
      <c r="EC62" s="2" t="s">
        <v>6</v>
      </c>
      <c r="ED62" s="2"/>
      <c r="EE62" s="2">
        <v>69252920</v>
      </c>
      <c r="EF62" s="2">
        <v>30</v>
      </c>
      <c r="EG62" s="2" t="s">
        <v>29</v>
      </c>
      <c r="EH62" s="2">
        <v>0</v>
      </c>
      <c r="EI62" s="2" t="s">
        <v>6</v>
      </c>
      <c r="EJ62" s="2">
        <v>1</v>
      </c>
      <c r="EK62" s="2">
        <v>295</v>
      </c>
      <c r="EL62" s="2" t="s">
        <v>30</v>
      </c>
      <c r="EM62" s="2" t="s">
        <v>31</v>
      </c>
      <c r="EN62" s="2"/>
      <c r="EO62" s="2" t="s">
        <v>6</v>
      </c>
      <c r="EP62" s="2"/>
      <c r="EQ62" s="2">
        <v>0</v>
      </c>
      <c r="ER62" s="2">
        <v>129.4</v>
      </c>
      <c r="ES62" s="2">
        <v>70.7</v>
      </c>
      <c r="ET62" s="2">
        <v>0</v>
      </c>
      <c r="EU62" s="2">
        <v>0</v>
      </c>
      <c r="EV62" s="2">
        <v>58.7</v>
      </c>
      <c r="EW62" s="2">
        <v>5.25</v>
      </c>
      <c r="EX62" s="2">
        <v>0</v>
      </c>
      <c r="EY62" s="2">
        <v>0</v>
      </c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>
        <v>0</v>
      </c>
      <c r="FR62" s="2">
        <f t="shared" si="93"/>
        <v>0</v>
      </c>
      <c r="FS62" s="2">
        <v>0</v>
      </c>
      <c r="FT62" s="2"/>
      <c r="FU62" s="2"/>
      <c r="FV62" s="2"/>
      <c r="FW62" s="2"/>
      <c r="FX62" s="2">
        <v>187</v>
      </c>
      <c r="FY62" s="2">
        <v>101</v>
      </c>
      <c r="FZ62" s="2"/>
      <c r="GA62" s="2" t="s">
        <v>6</v>
      </c>
      <c r="GB62" s="2"/>
      <c r="GC62" s="2"/>
      <c r="GD62" s="2">
        <v>0</v>
      </c>
      <c r="GE62" s="2"/>
      <c r="GF62" s="2">
        <v>780776342</v>
      </c>
      <c r="GG62" s="2">
        <v>2</v>
      </c>
      <c r="GH62" s="2">
        <v>1</v>
      </c>
      <c r="GI62" s="2">
        <v>-2</v>
      </c>
      <c r="GJ62" s="2">
        <v>0</v>
      </c>
      <c r="GK62" s="2">
        <f>ROUND(R62*(R12)/100,2)</f>
        <v>0</v>
      </c>
      <c r="GL62" s="2">
        <f t="shared" si="94"/>
        <v>0</v>
      </c>
      <c r="GM62" s="2">
        <f t="shared" si="95"/>
        <v>2387.65</v>
      </c>
      <c r="GN62" s="2">
        <f t="shared" si="96"/>
        <v>2387.65</v>
      </c>
      <c r="GO62" s="2">
        <f t="shared" si="97"/>
        <v>0</v>
      </c>
      <c r="GP62" s="2">
        <f t="shared" si="98"/>
        <v>0</v>
      </c>
      <c r="GQ62" s="2"/>
      <c r="GR62" s="2">
        <v>0</v>
      </c>
      <c r="GS62" s="2">
        <v>3</v>
      </c>
      <c r="GT62" s="2">
        <v>0</v>
      </c>
      <c r="GU62" s="2" t="s">
        <v>6</v>
      </c>
      <c r="GV62" s="2">
        <f t="shared" si="108"/>
        <v>0</v>
      </c>
      <c r="GW62" s="2">
        <v>1</v>
      </c>
      <c r="GX62" s="2">
        <f t="shared" si="100"/>
        <v>0</v>
      </c>
      <c r="GY62" s="2"/>
      <c r="GZ62" s="2"/>
      <c r="HA62" s="2">
        <v>0</v>
      </c>
      <c r="HB62" s="2">
        <v>0</v>
      </c>
      <c r="HC62" s="2">
        <f t="shared" si="101"/>
        <v>0</v>
      </c>
      <c r="HD62" s="2"/>
      <c r="HE62" s="2" t="s">
        <v>6</v>
      </c>
      <c r="HF62" s="2" t="s">
        <v>6</v>
      </c>
      <c r="HG62" s="2"/>
      <c r="HH62" s="2"/>
      <c r="HI62" s="2"/>
      <c r="HJ62" s="2"/>
      <c r="HK62" s="2"/>
      <c r="HL62" s="2"/>
      <c r="HM62" s="2" t="s">
        <v>6</v>
      </c>
      <c r="HN62" s="2" t="s">
        <v>6</v>
      </c>
      <c r="HO62" s="2" t="s">
        <v>6</v>
      </c>
      <c r="HP62" s="2" t="s">
        <v>6</v>
      </c>
      <c r="HQ62" s="2" t="s">
        <v>6</v>
      </c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>
        <v>0</v>
      </c>
      <c r="IL62" s="2"/>
      <c r="IM62" s="2"/>
      <c r="IN62" s="2"/>
      <c r="IO62" s="2"/>
      <c r="IP62" s="2"/>
      <c r="IQ62" s="2"/>
      <c r="IR62" s="2"/>
      <c r="IS62" s="2"/>
      <c r="IT62" s="2"/>
      <c r="IU62" s="2"/>
    </row>
    <row r="63" spans="1:255">
      <c r="A63">
        <v>17</v>
      </c>
      <c r="B63">
        <v>1</v>
      </c>
      <c r="E63" t="s">
        <v>64</v>
      </c>
      <c r="F63" t="s">
        <v>48</v>
      </c>
      <c r="G63" t="s">
        <v>49</v>
      </c>
      <c r="H63" t="s">
        <v>27</v>
      </c>
      <c r="I63">
        <f>ROUND(I42,9)</f>
        <v>8</v>
      </c>
      <c r="J63">
        <v>0</v>
      </c>
      <c r="K63">
        <f>ROUND(I42,9)</f>
        <v>8</v>
      </c>
      <c r="O63">
        <f t="shared" si="66"/>
        <v>25903.71</v>
      </c>
      <c r="P63">
        <f t="shared" si="67"/>
        <v>3987.48</v>
      </c>
      <c r="Q63">
        <f t="shared" si="102"/>
        <v>0</v>
      </c>
      <c r="R63">
        <f t="shared" si="69"/>
        <v>0</v>
      </c>
      <c r="S63">
        <f t="shared" si="70"/>
        <v>21916.23</v>
      </c>
      <c r="T63">
        <f t="shared" si="71"/>
        <v>0</v>
      </c>
      <c r="U63">
        <f t="shared" si="72"/>
        <v>42</v>
      </c>
      <c r="V63">
        <f t="shared" si="73"/>
        <v>0</v>
      </c>
      <c r="W63">
        <f t="shared" si="74"/>
        <v>0</v>
      </c>
      <c r="X63">
        <f t="shared" si="75"/>
        <v>23012.04</v>
      </c>
      <c r="Y63">
        <f t="shared" si="76"/>
        <v>10519.79</v>
      </c>
      <c r="AA63">
        <v>70322059</v>
      </c>
      <c r="AB63">
        <f t="shared" si="77"/>
        <v>129.4</v>
      </c>
      <c r="AC63">
        <f t="shared" si="103"/>
        <v>70.7</v>
      </c>
      <c r="AD63">
        <f t="shared" si="104"/>
        <v>0</v>
      </c>
      <c r="AE63">
        <f t="shared" si="105"/>
        <v>0</v>
      </c>
      <c r="AF63">
        <f t="shared" si="105"/>
        <v>58.7</v>
      </c>
      <c r="AG63">
        <f t="shared" si="81"/>
        <v>0</v>
      </c>
      <c r="AH63">
        <f t="shared" si="106"/>
        <v>5.25</v>
      </c>
      <c r="AI63">
        <f t="shared" si="106"/>
        <v>0</v>
      </c>
      <c r="AJ63">
        <f t="shared" si="83"/>
        <v>0</v>
      </c>
      <c r="AK63">
        <v>129.4</v>
      </c>
      <c r="AL63">
        <v>70.7</v>
      </c>
      <c r="AM63">
        <v>0</v>
      </c>
      <c r="AN63">
        <v>0</v>
      </c>
      <c r="AO63">
        <v>58.7</v>
      </c>
      <c r="AP63">
        <v>0</v>
      </c>
      <c r="AQ63">
        <v>5.25</v>
      </c>
      <c r="AR63">
        <v>0</v>
      </c>
      <c r="AS63">
        <v>0</v>
      </c>
      <c r="AT63">
        <v>105</v>
      </c>
      <c r="AU63">
        <v>48</v>
      </c>
      <c r="AV63">
        <v>1</v>
      </c>
      <c r="AW63">
        <v>1</v>
      </c>
      <c r="AZ63">
        <v>1</v>
      </c>
      <c r="BA63">
        <v>46.67</v>
      </c>
      <c r="BB63">
        <v>1</v>
      </c>
      <c r="BC63">
        <v>7.05</v>
      </c>
      <c r="BD63" t="s">
        <v>6</v>
      </c>
      <c r="BE63" t="s">
        <v>6</v>
      </c>
      <c r="BF63" t="s">
        <v>6</v>
      </c>
      <c r="BG63" t="s">
        <v>6</v>
      </c>
      <c r="BH63">
        <v>0</v>
      </c>
      <c r="BI63">
        <v>1</v>
      </c>
      <c r="BJ63" t="s">
        <v>50</v>
      </c>
      <c r="BM63">
        <v>295</v>
      </c>
      <c r="BN63">
        <v>0</v>
      </c>
      <c r="BO63" t="s">
        <v>48</v>
      </c>
      <c r="BP63">
        <v>1</v>
      </c>
      <c r="BQ63">
        <v>30</v>
      </c>
      <c r="BR63">
        <v>0</v>
      </c>
      <c r="BS63">
        <v>46.67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6</v>
      </c>
      <c r="BZ63">
        <v>105</v>
      </c>
      <c r="CA63">
        <v>48</v>
      </c>
      <c r="CB63" t="s">
        <v>6</v>
      </c>
      <c r="CE63">
        <v>30</v>
      </c>
      <c r="CF63">
        <v>0</v>
      </c>
      <c r="CG63">
        <v>0</v>
      </c>
      <c r="CM63">
        <v>0</v>
      </c>
      <c r="CN63" t="s">
        <v>6</v>
      </c>
      <c r="CO63">
        <v>0</v>
      </c>
      <c r="CP63">
        <f t="shared" si="84"/>
        <v>25903.71</v>
      </c>
      <c r="CQ63">
        <f t="shared" si="85"/>
        <v>498.44</v>
      </c>
      <c r="CR63">
        <f t="shared" si="107"/>
        <v>0</v>
      </c>
      <c r="CS63">
        <f t="shared" si="87"/>
        <v>0</v>
      </c>
      <c r="CT63">
        <f t="shared" si="88"/>
        <v>2739.53</v>
      </c>
      <c r="CU63">
        <f t="shared" si="89"/>
        <v>0</v>
      </c>
      <c r="CV63">
        <f t="shared" si="90"/>
        <v>5.25</v>
      </c>
      <c r="CW63">
        <f t="shared" si="91"/>
        <v>0</v>
      </c>
      <c r="CX63">
        <f t="shared" si="92"/>
        <v>0</v>
      </c>
      <c r="CY63">
        <f>S63*(BZ63/100)</f>
        <v>23012.041499999999</v>
      </c>
      <c r="CZ63">
        <f>S63*(CA63/100)</f>
        <v>10519.7904</v>
      </c>
      <c r="DC63" t="s">
        <v>6</v>
      </c>
      <c r="DD63" t="s">
        <v>6</v>
      </c>
      <c r="DE63" t="s">
        <v>6</v>
      </c>
      <c r="DF63" t="s">
        <v>6</v>
      </c>
      <c r="DG63" t="s">
        <v>6</v>
      </c>
      <c r="DH63" t="s">
        <v>6</v>
      </c>
      <c r="DI63" t="s">
        <v>6</v>
      </c>
      <c r="DJ63" t="s">
        <v>6</v>
      </c>
      <c r="DK63" t="s">
        <v>6</v>
      </c>
      <c r="DL63" t="s">
        <v>6</v>
      </c>
      <c r="DM63" t="s">
        <v>6</v>
      </c>
      <c r="DN63">
        <v>187</v>
      </c>
      <c r="DO63">
        <v>101</v>
      </c>
      <c r="DP63">
        <v>1</v>
      </c>
      <c r="DQ63">
        <v>1</v>
      </c>
      <c r="DU63">
        <v>1005</v>
      </c>
      <c r="DV63" t="s">
        <v>27</v>
      </c>
      <c r="DW63" t="s">
        <v>27</v>
      </c>
      <c r="DX63">
        <v>100</v>
      </c>
      <c r="DZ63" t="s">
        <v>6</v>
      </c>
      <c r="EA63" t="s">
        <v>6</v>
      </c>
      <c r="EB63" t="s">
        <v>6</v>
      </c>
      <c r="EC63" t="s">
        <v>6</v>
      </c>
      <c r="EE63">
        <v>69252920</v>
      </c>
      <c r="EF63">
        <v>30</v>
      </c>
      <c r="EG63" t="s">
        <v>29</v>
      </c>
      <c r="EH63">
        <v>0</v>
      </c>
      <c r="EI63" t="s">
        <v>6</v>
      </c>
      <c r="EJ63">
        <v>1</v>
      </c>
      <c r="EK63">
        <v>295</v>
      </c>
      <c r="EL63" t="s">
        <v>30</v>
      </c>
      <c r="EM63" t="s">
        <v>31</v>
      </c>
      <c r="EO63" t="s">
        <v>6</v>
      </c>
      <c r="EQ63">
        <v>0</v>
      </c>
      <c r="ER63">
        <v>129.4</v>
      </c>
      <c r="ES63">
        <v>70.7</v>
      </c>
      <c r="ET63">
        <v>0</v>
      </c>
      <c r="EU63">
        <v>0</v>
      </c>
      <c r="EV63">
        <v>58.7</v>
      </c>
      <c r="EW63">
        <v>5.25</v>
      </c>
      <c r="EX63">
        <v>0</v>
      </c>
      <c r="EY63">
        <v>0</v>
      </c>
      <c r="FQ63">
        <v>0</v>
      </c>
      <c r="FR63">
        <f t="shared" si="93"/>
        <v>0</v>
      </c>
      <c r="FS63">
        <v>0</v>
      </c>
      <c r="FX63">
        <v>187</v>
      </c>
      <c r="FY63">
        <v>101</v>
      </c>
      <c r="GA63" t="s">
        <v>6</v>
      </c>
      <c r="GD63">
        <v>0</v>
      </c>
      <c r="GF63">
        <v>780776342</v>
      </c>
      <c r="GG63">
        <v>2</v>
      </c>
      <c r="GH63">
        <v>1</v>
      </c>
      <c r="GI63">
        <v>2</v>
      </c>
      <c r="GJ63">
        <v>0</v>
      </c>
      <c r="GK63">
        <f>ROUND(R63*(S12)/100,2)</f>
        <v>0</v>
      </c>
      <c r="GL63">
        <f t="shared" si="94"/>
        <v>0</v>
      </c>
      <c r="GM63">
        <f t="shared" si="95"/>
        <v>59435.54</v>
      </c>
      <c r="GN63">
        <f t="shared" si="96"/>
        <v>59435.54</v>
      </c>
      <c r="GO63">
        <f t="shared" si="97"/>
        <v>0</v>
      </c>
      <c r="GP63">
        <f t="shared" si="98"/>
        <v>0</v>
      </c>
      <c r="GR63">
        <v>0</v>
      </c>
      <c r="GS63">
        <v>0</v>
      </c>
      <c r="GT63">
        <v>0</v>
      </c>
      <c r="GU63" t="s">
        <v>6</v>
      </c>
      <c r="GV63">
        <f t="shared" si="108"/>
        <v>0</v>
      </c>
      <c r="GW63">
        <v>1</v>
      </c>
      <c r="GX63">
        <f t="shared" si="100"/>
        <v>0</v>
      </c>
      <c r="HA63">
        <v>0</v>
      </c>
      <c r="HB63">
        <v>0</v>
      </c>
      <c r="HC63">
        <f t="shared" si="101"/>
        <v>0</v>
      </c>
      <c r="HE63" t="s">
        <v>6</v>
      </c>
      <c r="HF63" t="s">
        <v>6</v>
      </c>
      <c r="HM63" t="s">
        <v>6</v>
      </c>
      <c r="HN63" t="s">
        <v>6</v>
      </c>
      <c r="HO63" t="s">
        <v>6</v>
      </c>
      <c r="HP63" t="s">
        <v>6</v>
      </c>
      <c r="HQ63" t="s">
        <v>6</v>
      </c>
      <c r="IK63">
        <v>0</v>
      </c>
    </row>
    <row r="64" spans="1:255">
      <c r="A64" s="2">
        <v>18</v>
      </c>
      <c r="B64" s="2">
        <v>1</v>
      </c>
      <c r="C64" s="2"/>
      <c r="D64" s="2"/>
      <c r="E64" s="2" t="s">
        <v>65</v>
      </c>
      <c r="F64" s="2" t="s">
        <v>52</v>
      </c>
      <c r="G64" s="2" t="s">
        <v>53</v>
      </c>
      <c r="H64" s="2" t="s">
        <v>54</v>
      </c>
      <c r="I64" s="2">
        <f>I62*J64</f>
        <v>32</v>
      </c>
      <c r="J64" s="2">
        <v>4</v>
      </c>
      <c r="K64" s="2">
        <v>4</v>
      </c>
      <c r="L64" s="2"/>
      <c r="M64" s="2"/>
      <c r="N64" s="2"/>
      <c r="O64" s="2">
        <f t="shared" si="66"/>
        <v>1853.76</v>
      </c>
      <c r="P64" s="2">
        <f t="shared" si="67"/>
        <v>1853.76</v>
      </c>
      <c r="Q64" s="2">
        <f t="shared" si="102"/>
        <v>0</v>
      </c>
      <c r="R64" s="2">
        <f t="shared" si="69"/>
        <v>0</v>
      </c>
      <c r="S64" s="2">
        <f t="shared" si="70"/>
        <v>0</v>
      </c>
      <c r="T64" s="2">
        <f t="shared" si="71"/>
        <v>0</v>
      </c>
      <c r="U64" s="2">
        <f t="shared" si="72"/>
        <v>0</v>
      </c>
      <c r="V64" s="2">
        <f t="shared" si="73"/>
        <v>0</v>
      </c>
      <c r="W64" s="2">
        <f t="shared" si="74"/>
        <v>0</v>
      </c>
      <c r="X64" s="2">
        <f t="shared" si="75"/>
        <v>0</v>
      </c>
      <c r="Y64" s="2">
        <f t="shared" si="76"/>
        <v>0</v>
      </c>
      <c r="Z64" s="2"/>
      <c r="AA64" s="2">
        <v>70322058</v>
      </c>
      <c r="AB64" s="2">
        <f t="shared" si="77"/>
        <v>57.93</v>
      </c>
      <c r="AC64" s="2">
        <f t="shared" si="103"/>
        <v>57.93</v>
      </c>
      <c r="AD64" s="2">
        <f t="shared" si="104"/>
        <v>0</v>
      </c>
      <c r="AE64" s="2">
        <f t="shared" si="105"/>
        <v>0</v>
      </c>
      <c r="AF64" s="2">
        <f t="shared" si="105"/>
        <v>0</v>
      </c>
      <c r="AG64" s="2">
        <f t="shared" si="81"/>
        <v>0</v>
      </c>
      <c r="AH64" s="2">
        <f t="shared" si="106"/>
        <v>0</v>
      </c>
      <c r="AI64" s="2">
        <f t="shared" si="106"/>
        <v>0</v>
      </c>
      <c r="AJ64" s="2">
        <f t="shared" si="83"/>
        <v>0</v>
      </c>
      <c r="AK64" s="2">
        <v>57.93</v>
      </c>
      <c r="AL64" s="2">
        <v>57.93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187</v>
      </c>
      <c r="AU64" s="2">
        <v>101</v>
      </c>
      <c r="AV64" s="2">
        <v>1</v>
      </c>
      <c r="AW64" s="2">
        <v>1</v>
      </c>
      <c r="AX64" s="2"/>
      <c r="AY64" s="2"/>
      <c r="AZ64" s="2">
        <v>1</v>
      </c>
      <c r="BA64" s="2">
        <v>1</v>
      </c>
      <c r="BB64" s="2">
        <v>1</v>
      </c>
      <c r="BC64" s="2">
        <v>1</v>
      </c>
      <c r="BD64" s="2" t="s">
        <v>6</v>
      </c>
      <c r="BE64" s="2" t="s">
        <v>6</v>
      </c>
      <c r="BF64" s="2" t="s">
        <v>6</v>
      </c>
      <c r="BG64" s="2" t="s">
        <v>6</v>
      </c>
      <c r="BH64" s="2">
        <v>3</v>
      </c>
      <c r="BI64" s="2">
        <v>1</v>
      </c>
      <c r="BJ64" s="2" t="s">
        <v>55</v>
      </c>
      <c r="BK64" s="2"/>
      <c r="BL64" s="2"/>
      <c r="BM64" s="2">
        <v>295</v>
      </c>
      <c r="BN64" s="2">
        <v>0</v>
      </c>
      <c r="BO64" s="2" t="s">
        <v>6</v>
      </c>
      <c r="BP64" s="2">
        <v>0</v>
      </c>
      <c r="BQ64" s="2">
        <v>30</v>
      </c>
      <c r="BR64" s="2">
        <v>0</v>
      </c>
      <c r="BS64" s="2">
        <v>1</v>
      </c>
      <c r="BT64" s="2">
        <v>1</v>
      </c>
      <c r="BU64" s="2">
        <v>1</v>
      </c>
      <c r="BV64" s="2">
        <v>1</v>
      </c>
      <c r="BW64" s="2">
        <v>1</v>
      </c>
      <c r="BX64" s="2">
        <v>1</v>
      </c>
      <c r="BY64" s="2" t="s">
        <v>6</v>
      </c>
      <c r="BZ64" s="2">
        <v>187</v>
      </c>
      <c r="CA64" s="2">
        <v>101</v>
      </c>
      <c r="CB64" s="2" t="s">
        <v>6</v>
      </c>
      <c r="CC64" s="2"/>
      <c r="CD64" s="2"/>
      <c r="CE64" s="2">
        <v>30</v>
      </c>
      <c r="CF64" s="2">
        <v>0</v>
      </c>
      <c r="CG64" s="2">
        <v>0</v>
      </c>
      <c r="CH64" s="2"/>
      <c r="CI64" s="2"/>
      <c r="CJ64" s="2"/>
      <c r="CK64" s="2"/>
      <c r="CL64" s="2"/>
      <c r="CM64" s="2">
        <v>0</v>
      </c>
      <c r="CN64" s="2" t="s">
        <v>6</v>
      </c>
      <c r="CO64" s="2">
        <v>0</v>
      </c>
      <c r="CP64" s="2">
        <f t="shared" si="84"/>
        <v>1853.76</v>
      </c>
      <c r="CQ64" s="2">
        <f t="shared" si="85"/>
        <v>57.93</v>
      </c>
      <c r="CR64" s="2">
        <f t="shared" si="107"/>
        <v>0</v>
      </c>
      <c r="CS64" s="2">
        <f t="shared" si="87"/>
        <v>0</v>
      </c>
      <c r="CT64" s="2">
        <f t="shared" si="88"/>
        <v>0</v>
      </c>
      <c r="CU64" s="2">
        <f t="shared" si="89"/>
        <v>0</v>
      </c>
      <c r="CV64" s="2">
        <f t="shared" si="90"/>
        <v>0</v>
      </c>
      <c r="CW64" s="2">
        <f t="shared" si="91"/>
        <v>0</v>
      </c>
      <c r="CX64" s="2">
        <f t="shared" si="92"/>
        <v>0</v>
      </c>
      <c r="CY64" s="2">
        <f>((S64*BZ64)/100)</f>
        <v>0</v>
      </c>
      <c r="CZ64" s="2">
        <f>((S64*CA64)/100)</f>
        <v>0</v>
      </c>
      <c r="DA64" s="2"/>
      <c r="DB64" s="2"/>
      <c r="DC64" s="2" t="s">
        <v>6</v>
      </c>
      <c r="DD64" s="2" t="s">
        <v>6</v>
      </c>
      <c r="DE64" s="2" t="s">
        <v>6</v>
      </c>
      <c r="DF64" s="2" t="s">
        <v>6</v>
      </c>
      <c r="DG64" s="2" t="s">
        <v>6</v>
      </c>
      <c r="DH64" s="2" t="s">
        <v>6</v>
      </c>
      <c r="DI64" s="2" t="s">
        <v>6</v>
      </c>
      <c r="DJ64" s="2" t="s">
        <v>6</v>
      </c>
      <c r="DK64" s="2" t="s">
        <v>6</v>
      </c>
      <c r="DL64" s="2" t="s">
        <v>6</v>
      </c>
      <c r="DM64" s="2" t="s">
        <v>6</v>
      </c>
      <c r="DN64" s="2">
        <v>0</v>
      </c>
      <c r="DO64" s="2">
        <v>0</v>
      </c>
      <c r="DP64" s="2">
        <v>1</v>
      </c>
      <c r="DQ64" s="2">
        <v>1</v>
      </c>
      <c r="DR64" s="2"/>
      <c r="DS64" s="2"/>
      <c r="DT64" s="2"/>
      <c r="DU64" s="2">
        <v>1009</v>
      </c>
      <c r="DV64" s="2" t="s">
        <v>54</v>
      </c>
      <c r="DW64" s="2" t="s">
        <v>54</v>
      </c>
      <c r="DX64" s="2">
        <v>1</v>
      </c>
      <c r="DY64" s="2"/>
      <c r="DZ64" s="2" t="s">
        <v>6</v>
      </c>
      <c r="EA64" s="2" t="s">
        <v>6</v>
      </c>
      <c r="EB64" s="2" t="s">
        <v>6</v>
      </c>
      <c r="EC64" s="2" t="s">
        <v>6</v>
      </c>
      <c r="ED64" s="2"/>
      <c r="EE64" s="2">
        <v>69252920</v>
      </c>
      <c r="EF64" s="2">
        <v>30</v>
      </c>
      <c r="EG64" s="2" t="s">
        <v>29</v>
      </c>
      <c r="EH64" s="2">
        <v>0</v>
      </c>
      <c r="EI64" s="2" t="s">
        <v>6</v>
      </c>
      <c r="EJ64" s="2">
        <v>1</v>
      </c>
      <c r="EK64" s="2">
        <v>295</v>
      </c>
      <c r="EL64" s="2" t="s">
        <v>30</v>
      </c>
      <c r="EM64" s="2" t="s">
        <v>31</v>
      </c>
      <c r="EN64" s="2"/>
      <c r="EO64" s="2" t="s">
        <v>6</v>
      </c>
      <c r="EP64" s="2"/>
      <c r="EQ64" s="2">
        <v>0</v>
      </c>
      <c r="ER64" s="2">
        <v>57.93</v>
      </c>
      <c r="ES64" s="2">
        <v>57.93</v>
      </c>
      <c r="ET64" s="2">
        <v>0</v>
      </c>
      <c r="EU64" s="2">
        <v>0</v>
      </c>
      <c r="EV64" s="2">
        <v>0</v>
      </c>
      <c r="EW64" s="2">
        <v>0</v>
      </c>
      <c r="EX64" s="2">
        <v>0</v>
      </c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>
        <v>0</v>
      </c>
      <c r="FR64" s="2">
        <f t="shared" si="93"/>
        <v>0</v>
      </c>
      <c r="FS64" s="2">
        <v>0</v>
      </c>
      <c r="FT64" s="2"/>
      <c r="FU64" s="2"/>
      <c r="FV64" s="2"/>
      <c r="FW64" s="2"/>
      <c r="FX64" s="2">
        <v>187</v>
      </c>
      <c r="FY64" s="2">
        <v>101</v>
      </c>
      <c r="FZ64" s="2"/>
      <c r="GA64" s="2" t="s">
        <v>6</v>
      </c>
      <c r="GB64" s="2"/>
      <c r="GC64" s="2"/>
      <c r="GD64" s="2">
        <v>0</v>
      </c>
      <c r="GE64" s="2"/>
      <c r="GF64" s="2">
        <v>2028663304</v>
      </c>
      <c r="GG64" s="2">
        <v>2</v>
      </c>
      <c r="GH64" s="2">
        <v>1</v>
      </c>
      <c r="GI64" s="2">
        <v>-2</v>
      </c>
      <c r="GJ64" s="2">
        <v>0</v>
      </c>
      <c r="GK64" s="2">
        <f>ROUND(R64*(R12)/100,2)</f>
        <v>0</v>
      </c>
      <c r="GL64" s="2">
        <f t="shared" si="94"/>
        <v>0</v>
      </c>
      <c r="GM64" s="2">
        <f t="shared" si="95"/>
        <v>1853.76</v>
      </c>
      <c r="GN64" s="2">
        <f t="shared" si="96"/>
        <v>1853.76</v>
      </c>
      <c r="GO64" s="2">
        <f t="shared" si="97"/>
        <v>0</v>
      </c>
      <c r="GP64" s="2">
        <f t="shared" si="98"/>
        <v>0</v>
      </c>
      <c r="GQ64" s="2"/>
      <c r="GR64" s="2">
        <v>0</v>
      </c>
      <c r="GS64" s="2">
        <v>3</v>
      </c>
      <c r="GT64" s="2">
        <v>0</v>
      </c>
      <c r="GU64" s="2" t="s">
        <v>6</v>
      </c>
      <c r="GV64" s="2">
        <f t="shared" si="108"/>
        <v>0</v>
      </c>
      <c r="GW64" s="2">
        <v>1</v>
      </c>
      <c r="GX64" s="2">
        <f t="shared" si="100"/>
        <v>0</v>
      </c>
      <c r="GY64" s="2"/>
      <c r="GZ64" s="2"/>
      <c r="HA64" s="2">
        <v>0</v>
      </c>
      <c r="HB64" s="2">
        <v>0</v>
      </c>
      <c r="HC64" s="2">
        <f t="shared" si="101"/>
        <v>0</v>
      </c>
      <c r="HD64" s="2"/>
      <c r="HE64" s="2" t="s">
        <v>6</v>
      </c>
      <c r="HF64" s="2" t="s">
        <v>6</v>
      </c>
      <c r="HG64" s="2"/>
      <c r="HH64" s="2"/>
      <c r="HI64" s="2"/>
      <c r="HJ64" s="2"/>
      <c r="HK64" s="2"/>
      <c r="HL64" s="2"/>
      <c r="HM64" s="2" t="s">
        <v>6</v>
      </c>
      <c r="HN64" s="2" t="s">
        <v>6</v>
      </c>
      <c r="HO64" s="2" t="s">
        <v>6</v>
      </c>
      <c r="HP64" s="2" t="s">
        <v>6</v>
      </c>
      <c r="HQ64" s="2" t="s">
        <v>6</v>
      </c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>
        <v>0</v>
      </c>
      <c r="IL64" s="2"/>
      <c r="IM64" s="2"/>
      <c r="IN64" s="2"/>
      <c r="IO64" s="2"/>
      <c r="IP64" s="2"/>
      <c r="IQ64" s="2"/>
      <c r="IR64" s="2"/>
      <c r="IS64" s="2"/>
      <c r="IT64" s="2"/>
      <c r="IU64" s="2"/>
    </row>
    <row r="65" spans="1:245">
      <c r="A65">
        <v>18</v>
      </c>
      <c r="B65">
        <v>1</v>
      </c>
      <c r="E65" t="s">
        <v>65</v>
      </c>
      <c r="F65" t="s">
        <v>52</v>
      </c>
      <c r="G65" t="s">
        <v>53</v>
      </c>
      <c r="H65" t="s">
        <v>54</v>
      </c>
      <c r="I65">
        <f>I63*J65</f>
        <v>32</v>
      </c>
      <c r="J65">
        <v>4</v>
      </c>
      <c r="K65">
        <v>4</v>
      </c>
      <c r="O65">
        <f t="shared" si="66"/>
        <v>4782.7</v>
      </c>
      <c r="P65">
        <f t="shared" si="67"/>
        <v>4782.7</v>
      </c>
      <c r="Q65">
        <f t="shared" si="102"/>
        <v>0</v>
      </c>
      <c r="R65">
        <f t="shared" si="69"/>
        <v>0</v>
      </c>
      <c r="S65">
        <f t="shared" si="70"/>
        <v>0</v>
      </c>
      <c r="T65">
        <f t="shared" si="71"/>
        <v>0</v>
      </c>
      <c r="U65">
        <f t="shared" si="72"/>
        <v>0</v>
      </c>
      <c r="V65">
        <f t="shared" si="73"/>
        <v>0</v>
      </c>
      <c r="W65">
        <f t="shared" si="74"/>
        <v>0</v>
      </c>
      <c r="X65">
        <f t="shared" si="75"/>
        <v>0</v>
      </c>
      <c r="Y65">
        <f t="shared" si="76"/>
        <v>0</v>
      </c>
      <c r="AA65">
        <v>70322059</v>
      </c>
      <c r="AB65">
        <f t="shared" si="77"/>
        <v>57.93</v>
      </c>
      <c r="AC65">
        <f t="shared" si="103"/>
        <v>57.93</v>
      </c>
      <c r="AD65">
        <f t="shared" si="104"/>
        <v>0</v>
      </c>
      <c r="AE65">
        <f t="shared" si="105"/>
        <v>0</v>
      </c>
      <c r="AF65">
        <f t="shared" si="105"/>
        <v>0</v>
      </c>
      <c r="AG65">
        <f t="shared" si="81"/>
        <v>0</v>
      </c>
      <c r="AH65">
        <f t="shared" si="106"/>
        <v>0</v>
      </c>
      <c r="AI65">
        <f t="shared" si="106"/>
        <v>0</v>
      </c>
      <c r="AJ65">
        <f t="shared" si="83"/>
        <v>0</v>
      </c>
      <c r="AK65">
        <v>57.93</v>
      </c>
      <c r="AL65">
        <v>57.93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2.58</v>
      </c>
      <c r="BD65" t="s">
        <v>6</v>
      </c>
      <c r="BE65" t="s">
        <v>6</v>
      </c>
      <c r="BF65" t="s">
        <v>6</v>
      </c>
      <c r="BG65" t="s">
        <v>6</v>
      </c>
      <c r="BH65">
        <v>3</v>
      </c>
      <c r="BI65">
        <v>1</v>
      </c>
      <c r="BJ65" t="s">
        <v>55</v>
      </c>
      <c r="BM65">
        <v>295</v>
      </c>
      <c r="BN65">
        <v>0</v>
      </c>
      <c r="BO65" t="s">
        <v>52</v>
      </c>
      <c r="BP65">
        <v>1</v>
      </c>
      <c r="BQ65">
        <v>30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6</v>
      </c>
      <c r="BZ65">
        <v>0</v>
      </c>
      <c r="CA65">
        <v>0</v>
      </c>
      <c r="CB65" t="s">
        <v>6</v>
      </c>
      <c r="CE65">
        <v>30</v>
      </c>
      <c r="CF65">
        <v>0</v>
      </c>
      <c r="CG65">
        <v>0</v>
      </c>
      <c r="CM65">
        <v>0</v>
      </c>
      <c r="CN65" t="s">
        <v>6</v>
      </c>
      <c r="CO65">
        <v>0</v>
      </c>
      <c r="CP65">
        <f t="shared" si="84"/>
        <v>4782.7</v>
      </c>
      <c r="CQ65">
        <f t="shared" si="85"/>
        <v>149.46</v>
      </c>
      <c r="CR65">
        <f t="shared" si="107"/>
        <v>0</v>
      </c>
      <c r="CS65">
        <f t="shared" si="87"/>
        <v>0</v>
      </c>
      <c r="CT65">
        <f t="shared" si="88"/>
        <v>0</v>
      </c>
      <c r="CU65">
        <f t="shared" si="89"/>
        <v>0</v>
      </c>
      <c r="CV65">
        <f t="shared" si="90"/>
        <v>0</v>
      </c>
      <c r="CW65">
        <f t="shared" si="91"/>
        <v>0</v>
      </c>
      <c r="CX65">
        <f t="shared" si="92"/>
        <v>0</v>
      </c>
      <c r="CY65">
        <f>S65*(BZ65/100)</f>
        <v>0</v>
      </c>
      <c r="CZ65">
        <f>S65*(CA65/100)</f>
        <v>0</v>
      </c>
      <c r="DC65" t="s">
        <v>6</v>
      </c>
      <c r="DD65" t="s">
        <v>6</v>
      </c>
      <c r="DE65" t="s">
        <v>6</v>
      </c>
      <c r="DF65" t="s">
        <v>6</v>
      </c>
      <c r="DG65" t="s">
        <v>6</v>
      </c>
      <c r="DH65" t="s">
        <v>6</v>
      </c>
      <c r="DI65" t="s">
        <v>6</v>
      </c>
      <c r="DJ65" t="s">
        <v>6</v>
      </c>
      <c r="DK65" t="s">
        <v>6</v>
      </c>
      <c r="DL65" t="s">
        <v>6</v>
      </c>
      <c r="DM65" t="s">
        <v>6</v>
      </c>
      <c r="DN65">
        <v>187</v>
      </c>
      <c r="DO65">
        <v>101</v>
      </c>
      <c r="DP65">
        <v>1</v>
      </c>
      <c r="DQ65">
        <v>1</v>
      </c>
      <c r="DU65">
        <v>1009</v>
      </c>
      <c r="DV65" t="s">
        <v>54</v>
      </c>
      <c r="DW65" t="s">
        <v>54</v>
      </c>
      <c r="DX65">
        <v>1</v>
      </c>
      <c r="DZ65" t="s">
        <v>6</v>
      </c>
      <c r="EA65" t="s">
        <v>6</v>
      </c>
      <c r="EB65" t="s">
        <v>6</v>
      </c>
      <c r="EC65" t="s">
        <v>6</v>
      </c>
      <c r="EE65">
        <v>69252920</v>
      </c>
      <c r="EF65">
        <v>30</v>
      </c>
      <c r="EG65" t="s">
        <v>29</v>
      </c>
      <c r="EH65">
        <v>0</v>
      </c>
      <c r="EI65" t="s">
        <v>6</v>
      </c>
      <c r="EJ65">
        <v>1</v>
      </c>
      <c r="EK65">
        <v>295</v>
      </c>
      <c r="EL65" t="s">
        <v>30</v>
      </c>
      <c r="EM65" t="s">
        <v>31</v>
      </c>
      <c r="EO65" t="s">
        <v>6</v>
      </c>
      <c r="EQ65">
        <v>0</v>
      </c>
      <c r="ER65">
        <v>57.93</v>
      </c>
      <c r="ES65">
        <v>57.93</v>
      </c>
      <c r="ET65">
        <v>0</v>
      </c>
      <c r="EU65">
        <v>0</v>
      </c>
      <c r="EV65">
        <v>0</v>
      </c>
      <c r="EW65">
        <v>0</v>
      </c>
      <c r="EX65">
        <v>0</v>
      </c>
      <c r="FQ65">
        <v>0</v>
      </c>
      <c r="FR65">
        <f t="shared" si="93"/>
        <v>0</v>
      </c>
      <c r="FS65">
        <v>0</v>
      </c>
      <c r="FX65">
        <v>187</v>
      </c>
      <c r="FY65">
        <v>101</v>
      </c>
      <c r="GA65" t="s">
        <v>6</v>
      </c>
      <c r="GD65">
        <v>0</v>
      </c>
      <c r="GF65">
        <v>2028663304</v>
      </c>
      <c r="GG65">
        <v>2</v>
      </c>
      <c r="GH65">
        <v>1</v>
      </c>
      <c r="GI65">
        <v>2</v>
      </c>
      <c r="GJ65">
        <v>0</v>
      </c>
      <c r="GK65">
        <f>ROUND(R65*(S12)/100,2)</f>
        <v>0</v>
      </c>
      <c r="GL65">
        <f t="shared" si="94"/>
        <v>0</v>
      </c>
      <c r="GM65">
        <f t="shared" si="95"/>
        <v>4782.7</v>
      </c>
      <c r="GN65">
        <f t="shared" si="96"/>
        <v>4782.7</v>
      </c>
      <c r="GO65">
        <f t="shared" si="97"/>
        <v>0</v>
      </c>
      <c r="GP65">
        <f t="shared" si="98"/>
        <v>0</v>
      </c>
      <c r="GR65">
        <v>0</v>
      </c>
      <c r="GS65">
        <v>0</v>
      </c>
      <c r="GT65">
        <v>0</v>
      </c>
      <c r="GU65" t="s">
        <v>6</v>
      </c>
      <c r="GV65">
        <f t="shared" si="108"/>
        <v>0</v>
      </c>
      <c r="GW65">
        <v>1</v>
      </c>
      <c r="GX65">
        <f t="shared" si="100"/>
        <v>0</v>
      </c>
      <c r="HA65">
        <v>0</v>
      </c>
      <c r="HB65">
        <v>0</v>
      </c>
      <c r="HC65">
        <f t="shared" si="101"/>
        <v>0</v>
      </c>
      <c r="HE65" t="s">
        <v>6</v>
      </c>
      <c r="HF65" t="s">
        <v>6</v>
      </c>
      <c r="HM65" t="s">
        <v>6</v>
      </c>
      <c r="HN65" t="s">
        <v>6</v>
      </c>
      <c r="HO65" t="s">
        <v>6</v>
      </c>
      <c r="HP65" t="s">
        <v>6</v>
      </c>
      <c r="HQ65" t="s">
        <v>6</v>
      </c>
      <c r="IK65">
        <v>0</v>
      </c>
    </row>
    <row r="67" spans="1:245">
      <c r="A67" s="3">
        <v>51</v>
      </c>
      <c r="B67" s="3">
        <f>B28</f>
        <v>1</v>
      </c>
      <c r="C67" s="3">
        <f>A28</f>
        <v>5</v>
      </c>
      <c r="D67" s="3">
        <f>ROW(A28)</f>
        <v>28</v>
      </c>
      <c r="E67" s="3"/>
      <c r="F67" s="3" t="str">
        <f>IF(F28&lt;&gt;"",F28,"")</f>
        <v>Новый подраздел</v>
      </c>
      <c r="G67" s="3" t="str">
        <f>IF(G28&lt;&gt;"",G28,"")</f>
        <v>Газон  направлением  СП 60401 до ТП 28274</v>
      </c>
      <c r="H67" s="3">
        <v>0</v>
      </c>
      <c r="I67" s="3"/>
      <c r="J67" s="3"/>
      <c r="K67" s="3"/>
      <c r="L67" s="3"/>
      <c r="M67" s="3"/>
      <c r="N67" s="3"/>
      <c r="O67" s="3">
        <f t="shared" ref="O67:T67" si="109">ROUND(AB67,2)</f>
        <v>95206.81</v>
      </c>
      <c r="P67" s="3">
        <f t="shared" si="109"/>
        <v>82663.92</v>
      </c>
      <c r="Q67" s="3">
        <f t="shared" si="109"/>
        <v>158.18</v>
      </c>
      <c r="R67" s="3">
        <f t="shared" si="109"/>
        <v>17.96</v>
      </c>
      <c r="S67" s="3">
        <f t="shared" si="109"/>
        <v>12384.71</v>
      </c>
      <c r="T67" s="3">
        <f t="shared" si="109"/>
        <v>0</v>
      </c>
      <c r="U67" s="3">
        <f>AH67</f>
        <v>1183.47</v>
      </c>
      <c r="V67" s="3">
        <f>AI67</f>
        <v>0</v>
      </c>
      <c r="W67" s="3">
        <f>ROUND(AJ67,2)</f>
        <v>0</v>
      </c>
      <c r="X67" s="3">
        <f>ROUND(AK67,2)</f>
        <v>23159.41</v>
      </c>
      <c r="Y67" s="3">
        <f>ROUND(AL67,2)</f>
        <v>12508.58</v>
      </c>
      <c r="Z67" s="3"/>
      <c r="AA67" s="3"/>
      <c r="AB67" s="3">
        <f>ROUND(SUMIF(AA32:AA65,"=70322058",O32:O65),2)</f>
        <v>95206.81</v>
      </c>
      <c r="AC67" s="3">
        <f>ROUND(SUMIF(AA32:AA65,"=70322058",P32:P65),2)</f>
        <v>82663.92</v>
      </c>
      <c r="AD67" s="3">
        <f>ROUND(SUMIF(AA32:AA65,"=70322058",Q32:Q65),2)</f>
        <v>158.18</v>
      </c>
      <c r="AE67" s="3">
        <f>ROUND(SUMIF(AA32:AA65,"=70322058",R32:R65),2)</f>
        <v>17.96</v>
      </c>
      <c r="AF67" s="3">
        <f>ROUND(SUMIF(AA32:AA65,"=70322058",S32:S65),2)</f>
        <v>12384.71</v>
      </c>
      <c r="AG67" s="3">
        <f>ROUND(SUMIF(AA32:AA65,"=70322058",T32:T65),2)</f>
        <v>0</v>
      </c>
      <c r="AH67" s="3">
        <f>SUMIF(AA32:AA65,"=70322058",U32:U65)</f>
        <v>1183.47</v>
      </c>
      <c r="AI67" s="3">
        <f>SUMIF(AA32:AA65,"=70322058",V32:V65)</f>
        <v>0</v>
      </c>
      <c r="AJ67" s="3">
        <f>ROUND(SUMIF(AA32:AA65,"=70322058",W32:W65),2)</f>
        <v>0</v>
      </c>
      <c r="AK67" s="3">
        <f>ROUND(SUMIF(AA32:AA65,"=70322058",X32:X65),2)</f>
        <v>23159.41</v>
      </c>
      <c r="AL67" s="3">
        <f>ROUND(SUMIF(AA32:AA65,"=70322058",Y32:Y65),2)</f>
        <v>12508.58</v>
      </c>
      <c r="AM67" s="3"/>
      <c r="AN67" s="3"/>
      <c r="AO67" s="3">
        <f t="shared" ref="AO67:BD67" si="110">ROUND(BX67,2)</f>
        <v>0</v>
      </c>
      <c r="AP67" s="3">
        <f t="shared" si="110"/>
        <v>0</v>
      </c>
      <c r="AQ67" s="3">
        <f t="shared" si="110"/>
        <v>0</v>
      </c>
      <c r="AR67" s="3">
        <f t="shared" si="110"/>
        <v>130906.24000000001</v>
      </c>
      <c r="AS67" s="3">
        <f t="shared" si="110"/>
        <v>130906.24000000001</v>
      </c>
      <c r="AT67" s="3">
        <f t="shared" si="110"/>
        <v>0</v>
      </c>
      <c r="AU67" s="3">
        <f t="shared" si="110"/>
        <v>0</v>
      </c>
      <c r="AV67" s="3">
        <f t="shared" si="110"/>
        <v>82663.92</v>
      </c>
      <c r="AW67" s="3">
        <f t="shared" si="110"/>
        <v>82663.92</v>
      </c>
      <c r="AX67" s="3">
        <f t="shared" si="110"/>
        <v>0</v>
      </c>
      <c r="AY67" s="3">
        <f t="shared" si="110"/>
        <v>82663.92</v>
      </c>
      <c r="AZ67" s="3">
        <f t="shared" si="110"/>
        <v>0</v>
      </c>
      <c r="BA67" s="3">
        <f t="shared" si="110"/>
        <v>0</v>
      </c>
      <c r="BB67" s="3">
        <f t="shared" si="110"/>
        <v>0</v>
      </c>
      <c r="BC67" s="3">
        <f t="shared" si="110"/>
        <v>0</v>
      </c>
      <c r="BD67" s="3">
        <f t="shared" si="110"/>
        <v>0</v>
      </c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>
        <f>ROUND(SUMIF(AA32:AA65,"=70322058",FQ32:FQ65),2)</f>
        <v>0</v>
      </c>
      <c r="BY67" s="3">
        <f>ROUND(SUMIF(AA32:AA65,"=70322058",FR32:FR65),2)</f>
        <v>0</v>
      </c>
      <c r="BZ67" s="3">
        <f>ROUND(SUMIF(AA32:AA65,"=70322058",GL32:GL65),2)</f>
        <v>0</v>
      </c>
      <c r="CA67" s="3">
        <f>ROUND(SUMIF(AA32:AA65,"=70322058",GM32:GM65),2)</f>
        <v>130906.24000000001</v>
      </c>
      <c r="CB67" s="3">
        <f>ROUND(SUMIF(AA32:AA65,"=70322058",GN32:GN65),2)</f>
        <v>130906.24000000001</v>
      </c>
      <c r="CC67" s="3">
        <f>ROUND(SUMIF(AA32:AA65,"=70322058",GO32:GO65),2)</f>
        <v>0</v>
      </c>
      <c r="CD67" s="3">
        <f>ROUND(SUMIF(AA32:AA65,"=70322058",GP32:GP65),2)</f>
        <v>0</v>
      </c>
      <c r="CE67" s="3">
        <f>AC67-BX67</f>
        <v>82663.92</v>
      </c>
      <c r="CF67" s="3">
        <f>AC67-BY67</f>
        <v>82663.92</v>
      </c>
      <c r="CG67" s="3">
        <f>BX67-BZ67</f>
        <v>0</v>
      </c>
      <c r="CH67" s="3">
        <f>AC67-BX67-BY67+BZ67</f>
        <v>82663.92</v>
      </c>
      <c r="CI67" s="3">
        <f>BY67-BZ67</f>
        <v>0</v>
      </c>
      <c r="CJ67" s="3">
        <f>ROUND(SUMIF(AA32:AA65,"=70322058",GX32:GX65),2)</f>
        <v>0</v>
      </c>
      <c r="CK67" s="3">
        <f>ROUND(SUMIF(AA32:AA65,"=70322058",GY32:GY65),2)</f>
        <v>0</v>
      </c>
      <c r="CL67" s="3">
        <f>ROUND(SUMIF(AA32:AA65,"=70322058",GZ32:GZ65),2)</f>
        <v>0</v>
      </c>
      <c r="CM67" s="3">
        <f>ROUND(SUMIF(AA32:AA65,"=70322058",HD32:HD65),2)</f>
        <v>0</v>
      </c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4">
        <f t="shared" ref="DG67:DL67" si="111">ROUND(DT67,2)</f>
        <v>1205647.97</v>
      </c>
      <c r="DH67" s="4">
        <f t="shared" si="111"/>
        <v>625355.18999999994</v>
      </c>
      <c r="DI67" s="4">
        <f t="shared" si="111"/>
        <v>2298.36</v>
      </c>
      <c r="DJ67" s="4">
        <f t="shared" si="111"/>
        <v>838.19</v>
      </c>
      <c r="DK67" s="4">
        <f t="shared" si="111"/>
        <v>577994.42000000004</v>
      </c>
      <c r="DL67" s="4">
        <f t="shared" si="111"/>
        <v>0</v>
      </c>
      <c r="DM67" s="4">
        <f>DZ67</f>
        <v>1183.47</v>
      </c>
      <c r="DN67" s="4">
        <f>EA67</f>
        <v>0</v>
      </c>
      <c r="DO67" s="4">
        <f>ROUND(EB67,2)</f>
        <v>0</v>
      </c>
      <c r="DP67" s="4">
        <f>ROUND(EC67,2)</f>
        <v>606894.15</v>
      </c>
      <c r="DQ67" s="4">
        <f>ROUND(ED67,2)</f>
        <v>277437.32</v>
      </c>
      <c r="DR67" s="4"/>
      <c r="DS67" s="4"/>
      <c r="DT67" s="4">
        <f>ROUND(SUMIF(AA32:AA65,"=70322059",O32:O65),2)</f>
        <v>1205647.97</v>
      </c>
      <c r="DU67" s="4">
        <f>ROUND(SUMIF(AA32:AA65,"=70322059",P32:P65),2)</f>
        <v>625355.18999999994</v>
      </c>
      <c r="DV67" s="4">
        <f>ROUND(SUMIF(AA32:AA65,"=70322059",Q32:Q65),2)</f>
        <v>2298.36</v>
      </c>
      <c r="DW67" s="4">
        <f>ROUND(SUMIF(AA32:AA65,"=70322059",R32:R65),2)</f>
        <v>838.19</v>
      </c>
      <c r="DX67" s="4">
        <f>ROUND(SUMIF(AA32:AA65,"=70322059",S32:S65),2)</f>
        <v>577994.42000000004</v>
      </c>
      <c r="DY67" s="4">
        <f>ROUND(SUMIF(AA32:AA65,"=70322059",T32:T65),2)</f>
        <v>0</v>
      </c>
      <c r="DZ67" s="4">
        <f>SUMIF(AA32:AA65,"=70322059",U32:U65)</f>
        <v>1183.47</v>
      </c>
      <c r="EA67" s="4">
        <f>SUMIF(AA32:AA65,"=70322059",V32:V65)</f>
        <v>0</v>
      </c>
      <c r="EB67" s="4">
        <f>ROUND(SUMIF(AA32:AA65,"=70322059",W32:W65),2)</f>
        <v>0</v>
      </c>
      <c r="EC67" s="4">
        <f>ROUND(SUMIF(AA32:AA65,"=70322059",X32:X65),2)</f>
        <v>606894.15</v>
      </c>
      <c r="ED67" s="4">
        <f>ROUND(SUMIF(AA32:AA65,"=70322059",Y32:Y65),2)</f>
        <v>277437.32</v>
      </c>
      <c r="EE67" s="4"/>
      <c r="EF67" s="4"/>
      <c r="EG67" s="4">
        <f t="shared" ref="EG67:EV67" si="112">ROUND(FP67,2)</f>
        <v>0</v>
      </c>
      <c r="EH67" s="4">
        <f t="shared" si="112"/>
        <v>0</v>
      </c>
      <c r="EI67" s="4">
        <f t="shared" si="112"/>
        <v>0</v>
      </c>
      <c r="EJ67" s="4">
        <f t="shared" si="112"/>
        <v>2091320.55</v>
      </c>
      <c r="EK67" s="4">
        <f t="shared" si="112"/>
        <v>2091320.55</v>
      </c>
      <c r="EL67" s="4">
        <f t="shared" si="112"/>
        <v>0</v>
      </c>
      <c r="EM67" s="4">
        <f t="shared" si="112"/>
        <v>0</v>
      </c>
      <c r="EN67" s="4">
        <f t="shared" si="112"/>
        <v>625355.18999999994</v>
      </c>
      <c r="EO67" s="4">
        <f t="shared" si="112"/>
        <v>625355.18999999994</v>
      </c>
      <c r="EP67" s="4">
        <f t="shared" si="112"/>
        <v>0</v>
      </c>
      <c r="EQ67" s="4">
        <f t="shared" si="112"/>
        <v>625355.18999999994</v>
      </c>
      <c r="ER67" s="4">
        <f t="shared" si="112"/>
        <v>0</v>
      </c>
      <c r="ES67" s="4">
        <f t="shared" si="112"/>
        <v>0</v>
      </c>
      <c r="ET67" s="4">
        <f t="shared" si="112"/>
        <v>0</v>
      </c>
      <c r="EU67" s="4">
        <f t="shared" si="112"/>
        <v>0</v>
      </c>
      <c r="EV67" s="4">
        <f t="shared" si="112"/>
        <v>0</v>
      </c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>
        <f>ROUND(SUMIF(AA32:AA65,"=70322059",FQ32:FQ65),2)</f>
        <v>0</v>
      </c>
      <c r="FQ67" s="4">
        <f>ROUND(SUMIF(AA32:AA65,"=70322059",FR32:FR65),2)</f>
        <v>0</v>
      </c>
      <c r="FR67" s="4">
        <f>ROUND(SUMIF(AA32:AA65,"=70322059",GL32:GL65),2)</f>
        <v>0</v>
      </c>
      <c r="FS67" s="4">
        <f>ROUND(SUMIF(AA32:AA65,"=70322059",GM32:GM65),2)</f>
        <v>2091320.55</v>
      </c>
      <c r="FT67" s="4">
        <f>ROUND(SUMIF(AA32:AA65,"=70322059",GN32:GN65),2)</f>
        <v>2091320.55</v>
      </c>
      <c r="FU67" s="4">
        <f>ROUND(SUMIF(AA32:AA65,"=70322059",GO32:GO65),2)</f>
        <v>0</v>
      </c>
      <c r="FV67" s="4">
        <f>ROUND(SUMIF(AA32:AA65,"=70322059",GP32:GP65),2)</f>
        <v>0</v>
      </c>
      <c r="FW67" s="4">
        <f>DU67-FP67</f>
        <v>625355.18999999994</v>
      </c>
      <c r="FX67" s="4">
        <f>DU67-FQ67</f>
        <v>625355.18999999994</v>
      </c>
      <c r="FY67" s="4">
        <f>FP67-FR67</f>
        <v>0</v>
      </c>
      <c r="FZ67" s="4">
        <f>DU67-FP67-FQ67+FR67</f>
        <v>625355.18999999994</v>
      </c>
      <c r="GA67" s="4">
        <f>FQ67-FR67</f>
        <v>0</v>
      </c>
      <c r="GB67" s="4">
        <f>ROUND(SUMIF(AA32:AA65,"=70322059",GX32:GX65),2)</f>
        <v>0</v>
      </c>
      <c r="GC67" s="4">
        <f>ROUND(SUMIF(AA32:AA65,"=70322059",GY32:GY65),2)</f>
        <v>0</v>
      </c>
      <c r="GD67" s="4">
        <f>ROUND(SUMIF(AA32:AA65,"=70322059",GZ32:GZ65),2)</f>
        <v>0</v>
      </c>
      <c r="GE67" s="4">
        <f>ROUND(SUMIF(AA32:AA65,"=70322059",HD32:HD65),2)</f>
        <v>0</v>
      </c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>
        <v>0</v>
      </c>
    </row>
    <row r="69" spans="1:245">
      <c r="A69" s="5">
        <v>50</v>
      </c>
      <c r="B69" s="5">
        <v>0</v>
      </c>
      <c r="C69" s="5">
        <v>0</v>
      </c>
      <c r="D69" s="5">
        <v>1</v>
      </c>
      <c r="E69" s="5">
        <v>201</v>
      </c>
      <c r="F69" s="5">
        <f>ROUND(Source!O67,O69)</f>
        <v>95206.81</v>
      </c>
      <c r="G69" s="5" t="s">
        <v>66</v>
      </c>
      <c r="H69" s="5" t="s">
        <v>67</v>
      </c>
      <c r="I69" s="5"/>
      <c r="J69" s="5"/>
      <c r="K69" s="5">
        <v>201</v>
      </c>
      <c r="L69" s="5">
        <v>1</v>
      </c>
      <c r="M69" s="5">
        <v>3</v>
      </c>
      <c r="N69" s="5" t="s">
        <v>6</v>
      </c>
      <c r="O69" s="5">
        <v>2</v>
      </c>
      <c r="P69" s="5">
        <f>ROUND(Source!DG67,O69)</f>
        <v>1205647.97</v>
      </c>
      <c r="Q69" s="5"/>
      <c r="R69" s="5"/>
      <c r="S69" s="5"/>
      <c r="T69" s="5"/>
      <c r="U69" s="5"/>
      <c r="V69" s="5"/>
      <c r="W69" s="5">
        <v>95206.81</v>
      </c>
      <c r="X69" s="5">
        <v>1</v>
      </c>
      <c r="Y69" s="5">
        <v>95206.81</v>
      </c>
      <c r="Z69" s="5">
        <v>1205647.97</v>
      </c>
      <c r="AA69" s="5">
        <v>1</v>
      </c>
      <c r="AB69" s="5">
        <v>1205647.97</v>
      </c>
    </row>
    <row r="70" spans="1:245">
      <c r="A70" s="5">
        <v>50</v>
      </c>
      <c r="B70" s="5">
        <v>0</v>
      </c>
      <c r="C70" s="5">
        <v>0</v>
      </c>
      <c r="D70" s="5">
        <v>1</v>
      </c>
      <c r="E70" s="5">
        <v>202</v>
      </c>
      <c r="F70" s="5">
        <f>ROUND(Source!P67,O70)</f>
        <v>82663.92</v>
      </c>
      <c r="G70" s="5" t="s">
        <v>68</v>
      </c>
      <c r="H70" s="5" t="s">
        <v>69</v>
      </c>
      <c r="I70" s="5"/>
      <c r="J70" s="5"/>
      <c r="K70" s="5">
        <v>202</v>
      </c>
      <c r="L70" s="5">
        <v>2</v>
      </c>
      <c r="M70" s="5">
        <v>3</v>
      </c>
      <c r="N70" s="5" t="s">
        <v>6</v>
      </c>
      <c r="O70" s="5">
        <v>2</v>
      </c>
      <c r="P70" s="5">
        <f>ROUND(Source!DH67,O70)</f>
        <v>625355.18999999994</v>
      </c>
      <c r="Q70" s="5"/>
      <c r="R70" s="5"/>
      <c r="S70" s="5"/>
      <c r="T70" s="5"/>
      <c r="U70" s="5"/>
      <c r="V70" s="5"/>
      <c r="W70" s="5">
        <v>82663.92</v>
      </c>
      <c r="X70" s="5">
        <v>1</v>
      </c>
      <c r="Y70" s="5">
        <v>82663.92</v>
      </c>
      <c r="Z70" s="5">
        <v>625355.18999999994</v>
      </c>
      <c r="AA70" s="5">
        <v>1</v>
      </c>
      <c r="AB70" s="5">
        <v>625355.18999999994</v>
      </c>
    </row>
    <row r="71" spans="1:245">
      <c r="A71" s="5">
        <v>50</v>
      </c>
      <c r="B71" s="5">
        <v>0</v>
      </c>
      <c r="C71" s="5">
        <v>0</v>
      </c>
      <c r="D71" s="5">
        <v>1</v>
      </c>
      <c r="E71" s="5">
        <v>222</v>
      </c>
      <c r="F71" s="5">
        <f>ROUND(Source!AO67,O71)</f>
        <v>0</v>
      </c>
      <c r="G71" s="5" t="s">
        <v>70</v>
      </c>
      <c r="H71" s="5" t="s">
        <v>71</v>
      </c>
      <c r="I71" s="5"/>
      <c r="J71" s="5"/>
      <c r="K71" s="5">
        <v>222</v>
      </c>
      <c r="L71" s="5">
        <v>3</v>
      </c>
      <c r="M71" s="5">
        <v>3</v>
      </c>
      <c r="N71" s="5" t="s">
        <v>6</v>
      </c>
      <c r="O71" s="5">
        <v>2</v>
      </c>
      <c r="P71" s="5">
        <f>ROUND(Source!EG67,O71)</f>
        <v>0</v>
      </c>
      <c r="Q71" s="5"/>
      <c r="R71" s="5"/>
      <c r="S71" s="5"/>
      <c r="T71" s="5"/>
      <c r="U71" s="5"/>
      <c r="V71" s="5"/>
      <c r="W71" s="5">
        <v>0</v>
      </c>
      <c r="X71" s="5">
        <v>1</v>
      </c>
      <c r="Y71" s="5">
        <v>0</v>
      </c>
      <c r="Z71" s="5">
        <v>0</v>
      </c>
      <c r="AA71" s="5">
        <v>1</v>
      </c>
      <c r="AB71" s="5">
        <v>0</v>
      </c>
    </row>
    <row r="72" spans="1:245">
      <c r="A72" s="5">
        <v>50</v>
      </c>
      <c r="B72" s="5">
        <v>0</v>
      </c>
      <c r="C72" s="5">
        <v>0</v>
      </c>
      <c r="D72" s="5">
        <v>1</v>
      </c>
      <c r="E72" s="5">
        <v>225</v>
      </c>
      <c r="F72" s="5">
        <f>ROUND(Source!AV67,O72)</f>
        <v>82663.92</v>
      </c>
      <c r="G72" s="5" t="s">
        <v>72</v>
      </c>
      <c r="H72" s="5" t="s">
        <v>73</v>
      </c>
      <c r="I72" s="5"/>
      <c r="J72" s="5"/>
      <c r="K72" s="5">
        <v>225</v>
      </c>
      <c r="L72" s="5">
        <v>4</v>
      </c>
      <c r="M72" s="5">
        <v>3</v>
      </c>
      <c r="N72" s="5" t="s">
        <v>6</v>
      </c>
      <c r="O72" s="5">
        <v>2</v>
      </c>
      <c r="P72" s="5">
        <f>ROUND(Source!EN67,O72)</f>
        <v>625355.18999999994</v>
      </c>
      <c r="Q72" s="5"/>
      <c r="R72" s="5"/>
      <c r="S72" s="5"/>
      <c r="T72" s="5"/>
      <c r="U72" s="5"/>
      <c r="V72" s="5"/>
      <c r="W72" s="5">
        <v>82663.92</v>
      </c>
      <c r="X72" s="5">
        <v>1</v>
      </c>
      <c r="Y72" s="5">
        <v>82663.92</v>
      </c>
      <c r="Z72" s="5">
        <v>625355.18999999994</v>
      </c>
      <c r="AA72" s="5">
        <v>1</v>
      </c>
      <c r="AB72" s="5">
        <v>625355.18999999994</v>
      </c>
    </row>
    <row r="73" spans="1:245">
      <c r="A73" s="5">
        <v>50</v>
      </c>
      <c r="B73" s="5">
        <v>0</v>
      </c>
      <c r="C73" s="5">
        <v>0</v>
      </c>
      <c r="D73" s="5">
        <v>1</v>
      </c>
      <c r="E73" s="5">
        <v>226</v>
      </c>
      <c r="F73" s="5">
        <f>ROUND(Source!AW67,O73)</f>
        <v>82663.92</v>
      </c>
      <c r="G73" s="5" t="s">
        <v>74</v>
      </c>
      <c r="H73" s="5" t="s">
        <v>75</v>
      </c>
      <c r="I73" s="5"/>
      <c r="J73" s="5"/>
      <c r="K73" s="5">
        <v>226</v>
      </c>
      <c r="L73" s="5">
        <v>5</v>
      </c>
      <c r="M73" s="5">
        <v>3</v>
      </c>
      <c r="N73" s="5" t="s">
        <v>6</v>
      </c>
      <c r="O73" s="5">
        <v>2</v>
      </c>
      <c r="P73" s="5">
        <f>ROUND(Source!EO67,O73)</f>
        <v>625355.18999999994</v>
      </c>
      <c r="Q73" s="5"/>
      <c r="R73" s="5"/>
      <c r="S73" s="5"/>
      <c r="T73" s="5"/>
      <c r="U73" s="5"/>
      <c r="V73" s="5"/>
      <c r="W73" s="5">
        <v>82663.92</v>
      </c>
      <c r="X73" s="5">
        <v>1</v>
      </c>
      <c r="Y73" s="5">
        <v>82663.92</v>
      </c>
      <c r="Z73" s="5">
        <v>625355.18999999994</v>
      </c>
      <c r="AA73" s="5">
        <v>1</v>
      </c>
      <c r="AB73" s="5">
        <v>625355.18999999994</v>
      </c>
    </row>
    <row r="74" spans="1:245">
      <c r="A74" s="5">
        <v>50</v>
      </c>
      <c r="B74" s="5">
        <v>0</v>
      </c>
      <c r="C74" s="5">
        <v>0</v>
      </c>
      <c r="D74" s="5">
        <v>1</v>
      </c>
      <c r="E74" s="5">
        <v>227</v>
      </c>
      <c r="F74" s="5">
        <f>ROUND(Source!AX67,O74)</f>
        <v>0</v>
      </c>
      <c r="G74" s="5" t="s">
        <v>76</v>
      </c>
      <c r="H74" s="5" t="s">
        <v>77</v>
      </c>
      <c r="I74" s="5"/>
      <c r="J74" s="5"/>
      <c r="K74" s="5">
        <v>227</v>
      </c>
      <c r="L74" s="5">
        <v>6</v>
      </c>
      <c r="M74" s="5">
        <v>3</v>
      </c>
      <c r="N74" s="5" t="s">
        <v>6</v>
      </c>
      <c r="O74" s="5">
        <v>2</v>
      </c>
      <c r="P74" s="5">
        <f>ROUND(Source!EP67,O74)</f>
        <v>0</v>
      </c>
      <c r="Q74" s="5"/>
      <c r="R74" s="5"/>
      <c r="S74" s="5"/>
      <c r="T74" s="5"/>
      <c r="U74" s="5"/>
      <c r="V74" s="5"/>
      <c r="W74" s="5">
        <v>0</v>
      </c>
      <c r="X74" s="5">
        <v>1</v>
      </c>
      <c r="Y74" s="5">
        <v>0</v>
      </c>
      <c r="Z74" s="5">
        <v>0</v>
      </c>
      <c r="AA74" s="5">
        <v>1</v>
      </c>
      <c r="AB74" s="5">
        <v>0</v>
      </c>
    </row>
    <row r="75" spans="1:245">
      <c r="A75" s="5">
        <v>50</v>
      </c>
      <c r="B75" s="5">
        <v>0</v>
      </c>
      <c r="C75" s="5">
        <v>0</v>
      </c>
      <c r="D75" s="5">
        <v>1</v>
      </c>
      <c r="E75" s="5">
        <v>228</v>
      </c>
      <c r="F75" s="5">
        <f>ROUND(Source!AY67,O75)</f>
        <v>82663.92</v>
      </c>
      <c r="G75" s="5" t="s">
        <v>78</v>
      </c>
      <c r="H75" s="5" t="s">
        <v>79</v>
      </c>
      <c r="I75" s="5"/>
      <c r="J75" s="5"/>
      <c r="K75" s="5">
        <v>228</v>
      </c>
      <c r="L75" s="5">
        <v>7</v>
      </c>
      <c r="M75" s="5">
        <v>3</v>
      </c>
      <c r="N75" s="5" t="s">
        <v>6</v>
      </c>
      <c r="O75" s="5">
        <v>2</v>
      </c>
      <c r="P75" s="5">
        <f>ROUND(Source!EQ67,O75)</f>
        <v>625355.18999999994</v>
      </c>
      <c r="Q75" s="5"/>
      <c r="R75" s="5"/>
      <c r="S75" s="5"/>
      <c r="T75" s="5"/>
      <c r="U75" s="5"/>
      <c r="V75" s="5"/>
      <c r="W75" s="5">
        <v>82663.92</v>
      </c>
      <c r="X75" s="5">
        <v>1</v>
      </c>
      <c r="Y75" s="5">
        <v>82663.92</v>
      </c>
      <c r="Z75" s="5">
        <v>625355.18999999994</v>
      </c>
      <c r="AA75" s="5">
        <v>1</v>
      </c>
      <c r="AB75" s="5">
        <v>625355.18999999994</v>
      </c>
    </row>
    <row r="76" spans="1:245">
      <c r="A76" s="5">
        <v>50</v>
      </c>
      <c r="B76" s="5">
        <v>0</v>
      </c>
      <c r="C76" s="5">
        <v>0</v>
      </c>
      <c r="D76" s="5">
        <v>1</v>
      </c>
      <c r="E76" s="5">
        <v>216</v>
      </c>
      <c r="F76" s="5">
        <f>ROUND(Source!AP67,O76)</f>
        <v>0</v>
      </c>
      <c r="G76" s="5" t="s">
        <v>80</v>
      </c>
      <c r="H76" s="5" t="s">
        <v>81</v>
      </c>
      <c r="I76" s="5"/>
      <c r="J76" s="5"/>
      <c r="K76" s="5">
        <v>216</v>
      </c>
      <c r="L76" s="5">
        <v>8</v>
      </c>
      <c r="M76" s="5">
        <v>3</v>
      </c>
      <c r="N76" s="5" t="s">
        <v>6</v>
      </c>
      <c r="O76" s="5">
        <v>2</v>
      </c>
      <c r="P76" s="5">
        <f>ROUND(Source!EH67,O76)</f>
        <v>0</v>
      </c>
      <c r="Q76" s="5"/>
      <c r="R76" s="5"/>
      <c r="S76" s="5"/>
      <c r="T76" s="5"/>
      <c r="U76" s="5"/>
      <c r="V76" s="5"/>
      <c r="W76" s="5">
        <v>0</v>
      </c>
      <c r="X76" s="5">
        <v>1</v>
      </c>
      <c r="Y76" s="5">
        <v>0</v>
      </c>
      <c r="Z76" s="5">
        <v>0</v>
      </c>
      <c r="AA76" s="5">
        <v>1</v>
      </c>
      <c r="AB76" s="5">
        <v>0</v>
      </c>
    </row>
    <row r="77" spans="1:245">
      <c r="A77" s="5">
        <v>50</v>
      </c>
      <c r="B77" s="5">
        <v>0</v>
      </c>
      <c r="C77" s="5">
        <v>0</v>
      </c>
      <c r="D77" s="5">
        <v>1</v>
      </c>
      <c r="E77" s="5">
        <v>223</v>
      </c>
      <c r="F77" s="5">
        <f>ROUND(Source!AQ67,O77)</f>
        <v>0</v>
      </c>
      <c r="G77" s="5" t="s">
        <v>82</v>
      </c>
      <c r="H77" s="5" t="s">
        <v>83</v>
      </c>
      <c r="I77" s="5"/>
      <c r="J77" s="5"/>
      <c r="K77" s="5">
        <v>223</v>
      </c>
      <c r="L77" s="5">
        <v>9</v>
      </c>
      <c r="M77" s="5">
        <v>3</v>
      </c>
      <c r="N77" s="5" t="s">
        <v>6</v>
      </c>
      <c r="O77" s="5">
        <v>2</v>
      </c>
      <c r="P77" s="5">
        <f>ROUND(Source!EI67,O77)</f>
        <v>0</v>
      </c>
      <c r="Q77" s="5"/>
      <c r="R77" s="5"/>
      <c r="S77" s="5"/>
      <c r="T77" s="5"/>
      <c r="U77" s="5"/>
      <c r="V77" s="5"/>
      <c r="W77" s="5">
        <v>0</v>
      </c>
      <c r="X77" s="5">
        <v>1</v>
      </c>
      <c r="Y77" s="5">
        <v>0</v>
      </c>
      <c r="Z77" s="5">
        <v>0</v>
      </c>
      <c r="AA77" s="5">
        <v>1</v>
      </c>
      <c r="AB77" s="5">
        <v>0</v>
      </c>
    </row>
    <row r="78" spans="1:245">
      <c r="A78" s="5">
        <v>50</v>
      </c>
      <c r="B78" s="5">
        <v>0</v>
      </c>
      <c r="C78" s="5">
        <v>0</v>
      </c>
      <c r="D78" s="5">
        <v>1</v>
      </c>
      <c r="E78" s="5">
        <v>229</v>
      </c>
      <c r="F78" s="5">
        <f>ROUND(Source!AZ67,O78)</f>
        <v>0</v>
      </c>
      <c r="G78" s="5" t="s">
        <v>84</v>
      </c>
      <c r="H78" s="5" t="s">
        <v>85</v>
      </c>
      <c r="I78" s="5"/>
      <c r="J78" s="5"/>
      <c r="K78" s="5">
        <v>229</v>
      </c>
      <c r="L78" s="5">
        <v>10</v>
      </c>
      <c r="M78" s="5">
        <v>3</v>
      </c>
      <c r="N78" s="5" t="s">
        <v>6</v>
      </c>
      <c r="O78" s="5">
        <v>2</v>
      </c>
      <c r="P78" s="5">
        <f>ROUND(Source!ER67,O78)</f>
        <v>0</v>
      </c>
      <c r="Q78" s="5"/>
      <c r="R78" s="5"/>
      <c r="S78" s="5"/>
      <c r="T78" s="5"/>
      <c r="U78" s="5"/>
      <c r="V78" s="5"/>
      <c r="W78" s="5">
        <v>0</v>
      </c>
      <c r="X78" s="5">
        <v>1</v>
      </c>
      <c r="Y78" s="5">
        <v>0</v>
      </c>
      <c r="Z78" s="5">
        <v>0</v>
      </c>
      <c r="AA78" s="5">
        <v>1</v>
      </c>
      <c r="AB78" s="5">
        <v>0</v>
      </c>
    </row>
    <row r="79" spans="1:245">
      <c r="A79" s="5">
        <v>50</v>
      </c>
      <c r="B79" s="5">
        <v>0</v>
      </c>
      <c r="C79" s="5">
        <v>0</v>
      </c>
      <c r="D79" s="5">
        <v>1</v>
      </c>
      <c r="E79" s="5">
        <v>203</v>
      </c>
      <c r="F79" s="5">
        <f>ROUND(Source!Q67,O79)</f>
        <v>158.18</v>
      </c>
      <c r="G79" s="5" t="s">
        <v>86</v>
      </c>
      <c r="H79" s="5" t="s">
        <v>87</v>
      </c>
      <c r="I79" s="5"/>
      <c r="J79" s="5"/>
      <c r="K79" s="5">
        <v>203</v>
      </c>
      <c r="L79" s="5">
        <v>11</v>
      </c>
      <c r="M79" s="5">
        <v>3</v>
      </c>
      <c r="N79" s="5" t="s">
        <v>6</v>
      </c>
      <c r="O79" s="5">
        <v>2</v>
      </c>
      <c r="P79" s="5">
        <f>ROUND(Source!DI67,O79)</f>
        <v>2298.36</v>
      </c>
      <c r="Q79" s="5"/>
      <c r="R79" s="5"/>
      <c r="S79" s="5"/>
      <c r="T79" s="5"/>
      <c r="U79" s="5"/>
      <c r="V79" s="5"/>
      <c r="W79" s="5">
        <v>158.18</v>
      </c>
      <c r="X79" s="5">
        <v>1</v>
      </c>
      <c r="Y79" s="5">
        <v>158.18</v>
      </c>
      <c r="Z79" s="5">
        <v>2298.36</v>
      </c>
      <c r="AA79" s="5">
        <v>1</v>
      </c>
      <c r="AB79" s="5">
        <v>2298.36</v>
      </c>
    </row>
    <row r="80" spans="1:245">
      <c r="A80" s="5">
        <v>50</v>
      </c>
      <c r="B80" s="5">
        <v>0</v>
      </c>
      <c r="C80" s="5">
        <v>0</v>
      </c>
      <c r="D80" s="5">
        <v>1</v>
      </c>
      <c r="E80" s="5">
        <v>231</v>
      </c>
      <c r="F80" s="5">
        <f>ROUND(Source!BB67,O80)</f>
        <v>0</v>
      </c>
      <c r="G80" s="5" t="s">
        <v>88</v>
      </c>
      <c r="H80" s="5" t="s">
        <v>89</v>
      </c>
      <c r="I80" s="5"/>
      <c r="J80" s="5"/>
      <c r="K80" s="5">
        <v>231</v>
      </c>
      <c r="L80" s="5">
        <v>12</v>
      </c>
      <c r="M80" s="5">
        <v>3</v>
      </c>
      <c r="N80" s="5" t="s">
        <v>6</v>
      </c>
      <c r="O80" s="5">
        <v>2</v>
      </c>
      <c r="P80" s="5">
        <f>ROUND(Source!ET67,O80)</f>
        <v>0</v>
      </c>
      <c r="Q80" s="5"/>
      <c r="R80" s="5"/>
      <c r="S80" s="5"/>
      <c r="T80" s="5"/>
      <c r="U80" s="5"/>
      <c r="V80" s="5"/>
      <c r="W80" s="5">
        <v>0</v>
      </c>
      <c r="X80" s="5">
        <v>1</v>
      </c>
      <c r="Y80" s="5">
        <v>0</v>
      </c>
      <c r="Z80" s="5">
        <v>0</v>
      </c>
      <c r="AA80" s="5">
        <v>1</v>
      </c>
      <c r="AB80" s="5">
        <v>0</v>
      </c>
    </row>
    <row r="81" spans="1:28">
      <c r="A81" s="5">
        <v>50</v>
      </c>
      <c r="B81" s="5">
        <v>0</v>
      </c>
      <c r="C81" s="5">
        <v>0</v>
      </c>
      <c r="D81" s="5">
        <v>1</v>
      </c>
      <c r="E81" s="5">
        <v>204</v>
      </c>
      <c r="F81" s="5">
        <f>ROUND(Source!R67,O81)</f>
        <v>17.96</v>
      </c>
      <c r="G81" s="5" t="s">
        <v>90</v>
      </c>
      <c r="H81" s="5" t="s">
        <v>91</v>
      </c>
      <c r="I81" s="5"/>
      <c r="J81" s="5"/>
      <c r="K81" s="5">
        <v>204</v>
      </c>
      <c r="L81" s="5">
        <v>13</v>
      </c>
      <c r="M81" s="5">
        <v>3</v>
      </c>
      <c r="N81" s="5" t="s">
        <v>6</v>
      </c>
      <c r="O81" s="5">
        <v>2</v>
      </c>
      <c r="P81" s="5">
        <f>ROUND(Source!DJ67,O81)</f>
        <v>838.19</v>
      </c>
      <c r="Q81" s="5"/>
      <c r="R81" s="5"/>
      <c r="S81" s="5"/>
      <c r="T81" s="5"/>
      <c r="U81" s="5"/>
      <c r="V81" s="5"/>
      <c r="W81" s="5">
        <v>17.96</v>
      </c>
      <c r="X81" s="5">
        <v>1</v>
      </c>
      <c r="Y81" s="5">
        <v>17.96</v>
      </c>
      <c r="Z81" s="5">
        <v>838.19</v>
      </c>
      <c r="AA81" s="5">
        <v>1</v>
      </c>
      <c r="AB81" s="5">
        <v>838.19</v>
      </c>
    </row>
    <row r="82" spans="1:28">
      <c r="A82" s="5">
        <v>50</v>
      </c>
      <c r="B82" s="5">
        <v>0</v>
      </c>
      <c r="C82" s="5">
        <v>0</v>
      </c>
      <c r="D82" s="5">
        <v>1</v>
      </c>
      <c r="E82" s="5">
        <v>205</v>
      </c>
      <c r="F82" s="5">
        <f>ROUND(Source!S67,O82)</f>
        <v>12384.71</v>
      </c>
      <c r="G82" s="5" t="s">
        <v>92</v>
      </c>
      <c r="H82" s="5" t="s">
        <v>93</v>
      </c>
      <c r="I82" s="5"/>
      <c r="J82" s="5"/>
      <c r="K82" s="5">
        <v>205</v>
      </c>
      <c r="L82" s="5">
        <v>14</v>
      </c>
      <c r="M82" s="5">
        <v>3</v>
      </c>
      <c r="N82" s="5" t="s">
        <v>6</v>
      </c>
      <c r="O82" s="5">
        <v>2</v>
      </c>
      <c r="P82" s="5">
        <f>ROUND(Source!DK67,O82)</f>
        <v>577994.42000000004</v>
      </c>
      <c r="Q82" s="5"/>
      <c r="R82" s="5"/>
      <c r="S82" s="5"/>
      <c r="T82" s="5"/>
      <c r="U82" s="5"/>
      <c r="V82" s="5"/>
      <c r="W82" s="5">
        <v>12384.71</v>
      </c>
      <c r="X82" s="5">
        <v>1</v>
      </c>
      <c r="Y82" s="5">
        <v>12384.71</v>
      </c>
      <c r="Z82" s="5">
        <v>577994.42000000004</v>
      </c>
      <c r="AA82" s="5">
        <v>1</v>
      </c>
      <c r="AB82" s="5">
        <v>577994.42000000004</v>
      </c>
    </row>
    <row r="83" spans="1:28">
      <c r="A83" s="5">
        <v>50</v>
      </c>
      <c r="B83" s="5">
        <v>0</v>
      </c>
      <c r="C83" s="5">
        <v>0</v>
      </c>
      <c r="D83" s="5">
        <v>1</v>
      </c>
      <c r="E83" s="5">
        <v>232</v>
      </c>
      <c r="F83" s="5">
        <f>ROUND(Source!BC67,O83)</f>
        <v>0</v>
      </c>
      <c r="G83" s="5" t="s">
        <v>94</v>
      </c>
      <c r="H83" s="5" t="s">
        <v>95</v>
      </c>
      <c r="I83" s="5"/>
      <c r="J83" s="5"/>
      <c r="K83" s="5">
        <v>232</v>
      </c>
      <c r="L83" s="5">
        <v>15</v>
      </c>
      <c r="M83" s="5">
        <v>3</v>
      </c>
      <c r="N83" s="5" t="s">
        <v>6</v>
      </c>
      <c r="O83" s="5">
        <v>2</v>
      </c>
      <c r="P83" s="5">
        <f>ROUND(Source!EU67,O83)</f>
        <v>0</v>
      </c>
      <c r="Q83" s="5"/>
      <c r="R83" s="5"/>
      <c r="S83" s="5"/>
      <c r="T83" s="5"/>
      <c r="U83" s="5"/>
      <c r="V83" s="5"/>
      <c r="W83" s="5">
        <v>0</v>
      </c>
      <c r="X83" s="5">
        <v>1</v>
      </c>
      <c r="Y83" s="5">
        <v>0</v>
      </c>
      <c r="Z83" s="5">
        <v>0</v>
      </c>
      <c r="AA83" s="5">
        <v>1</v>
      </c>
      <c r="AB83" s="5">
        <v>0</v>
      </c>
    </row>
    <row r="84" spans="1:28">
      <c r="A84" s="5">
        <v>50</v>
      </c>
      <c r="B84" s="5">
        <v>0</v>
      </c>
      <c r="C84" s="5">
        <v>0</v>
      </c>
      <c r="D84" s="5">
        <v>1</v>
      </c>
      <c r="E84" s="5">
        <v>214</v>
      </c>
      <c r="F84" s="5">
        <f>ROUND(Source!AS67,O84)</f>
        <v>130906.24000000001</v>
      </c>
      <c r="G84" s="5" t="s">
        <v>96</v>
      </c>
      <c r="H84" s="5" t="s">
        <v>97</v>
      </c>
      <c r="I84" s="5"/>
      <c r="J84" s="5"/>
      <c r="K84" s="5">
        <v>214</v>
      </c>
      <c r="L84" s="5">
        <v>16</v>
      </c>
      <c r="M84" s="5">
        <v>3</v>
      </c>
      <c r="N84" s="5" t="s">
        <v>6</v>
      </c>
      <c r="O84" s="5">
        <v>2</v>
      </c>
      <c r="P84" s="5">
        <f>ROUND(Source!EK67,O84)</f>
        <v>2091320.55</v>
      </c>
      <c r="Q84" s="5"/>
      <c r="R84" s="5"/>
      <c r="S84" s="5"/>
      <c r="T84" s="5"/>
      <c r="U84" s="5"/>
      <c r="V84" s="5"/>
      <c r="W84" s="5">
        <v>130906.24000000001</v>
      </c>
      <c r="X84" s="5">
        <v>1</v>
      </c>
      <c r="Y84" s="5">
        <v>130906.24000000001</v>
      </c>
      <c r="Z84" s="5">
        <v>2091320.55</v>
      </c>
      <c r="AA84" s="5">
        <v>1</v>
      </c>
      <c r="AB84" s="5">
        <v>2091320.55</v>
      </c>
    </row>
    <row r="85" spans="1:28">
      <c r="A85" s="5">
        <v>50</v>
      </c>
      <c r="B85" s="5">
        <v>0</v>
      </c>
      <c r="C85" s="5">
        <v>0</v>
      </c>
      <c r="D85" s="5">
        <v>1</v>
      </c>
      <c r="E85" s="5">
        <v>215</v>
      </c>
      <c r="F85" s="5">
        <f>ROUND(Source!AT67,O85)</f>
        <v>0</v>
      </c>
      <c r="G85" s="5" t="s">
        <v>98</v>
      </c>
      <c r="H85" s="5" t="s">
        <v>99</v>
      </c>
      <c r="I85" s="5"/>
      <c r="J85" s="5"/>
      <c r="K85" s="5">
        <v>215</v>
      </c>
      <c r="L85" s="5">
        <v>17</v>
      </c>
      <c r="M85" s="5">
        <v>3</v>
      </c>
      <c r="N85" s="5" t="s">
        <v>6</v>
      </c>
      <c r="O85" s="5">
        <v>2</v>
      </c>
      <c r="P85" s="5">
        <f>ROUND(Source!EL67,O85)</f>
        <v>0</v>
      </c>
      <c r="Q85" s="5"/>
      <c r="R85" s="5"/>
      <c r="S85" s="5"/>
      <c r="T85" s="5"/>
      <c r="U85" s="5"/>
      <c r="V85" s="5"/>
      <c r="W85" s="5">
        <v>0</v>
      </c>
      <c r="X85" s="5">
        <v>1</v>
      </c>
      <c r="Y85" s="5">
        <v>0</v>
      </c>
      <c r="Z85" s="5">
        <v>0</v>
      </c>
      <c r="AA85" s="5">
        <v>1</v>
      </c>
      <c r="AB85" s="5">
        <v>0</v>
      </c>
    </row>
    <row r="86" spans="1:28">
      <c r="A86" s="5">
        <v>50</v>
      </c>
      <c r="B86" s="5">
        <v>0</v>
      </c>
      <c r="C86" s="5">
        <v>0</v>
      </c>
      <c r="D86" s="5">
        <v>1</v>
      </c>
      <c r="E86" s="5">
        <v>217</v>
      </c>
      <c r="F86" s="5">
        <f>ROUND(Source!AU67,O86)</f>
        <v>0</v>
      </c>
      <c r="G86" s="5" t="s">
        <v>100</v>
      </c>
      <c r="H86" s="5" t="s">
        <v>101</v>
      </c>
      <c r="I86" s="5"/>
      <c r="J86" s="5"/>
      <c r="K86" s="5">
        <v>217</v>
      </c>
      <c r="L86" s="5">
        <v>18</v>
      </c>
      <c r="M86" s="5">
        <v>3</v>
      </c>
      <c r="N86" s="5" t="s">
        <v>6</v>
      </c>
      <c r="O86" s="5">
        <v>2</v>
      </c>
      <c r="P86" s="5">
        <f>ROUND(Source!EM67,O86)</f>
        <v>0</v>
      </c>
      <c r="Q86" s="5"/>
      <c r="R86" s="5"/>
      <c r="S86" s="5"/>
      <c r="T86" s="5"/>
      <c r="U86" s="5"/>
      <c r="V86" s="5"/>
      <c r="W86" s="5">
        <v>0</v>
      </c>
      <c r="X86" s="5">
        <v>1</v>
      </c>
      <c r="Y86" s="5">
        <v>0</v>
      </c>
      <c r="Z86" s="5">
        <v>0</v>
      </c>
      <c r="AA86" s="5">
        <v>1</v>
      </c>
      <c r="AB86" s="5">
        <v>0</v>
      </c>
    </row>
    <row r="87" spans="1:28">
      <c r="A87" s="5">
        <v>50</v>
      </c>
      <c r="B87" s="5">
        <v>0</v>
      </c>
      <c r="C87" s="5">
        <v>0</v>
      </c>
      <c r="D87" s="5">
        <v>1</v>
      </c>
      <c r="E87" s="5">
        <v>230</v>
      </c>
      <c r="F87" s="5">
        <f>ROUND(Source!BA67,O87)</f>
        <v>0</v>
      </c>
      <c r="G87" s="5" t="s">
        <v>102</v>
      </c>
      <c r="H87" s="5" t="s">
        <v>103</v>
      </c>
      <c r="I87" s="5"/>
      <c r="J87" s="5"/>
      <c r="K87" s="5">
        <v>230</v>
      </c>
      <c r="L87" s="5">
        <v>19</v>
      </c>
      <c r="M87" s="5">
        <v>3</v>
      </c>
      <c r="N87" s="5" t="s">
        <v>6</v>
      </c>
      <c r="O87" s="5">
        <v>2</v>
      </c>
      <c r="P87" s="5">
        <f>ROUND(Source!ES67,O87)</f>
        <v>0</v>
      </c>
      <c r="Q87" s="5"/>
      <c r="R87" s="5"/>
      <c r="S87" s="5"/>
      <c r="T87" s="5"/>
      <c r="U87" s="5"/>
      <c r="V87" s="5"/>
      <c r="W87" s="5">
        <v>0</v>
      </c>
      <c r="X87" s="5">
        <v>1</v>
      </c>
      <c r="Y87" s="5">
        <v>0</v>
      </c>
      <c r="Z87" s="5">
        <v>0</v>
      </c>
      <c r="AA87" s="5">
        <v>1</v>
      </c>
      <c r="AB87" s="5">
        <v>0</v>
      </c>
    </row>
    <row r="88" spans="1:28">
      <c r="A88" s="5">
        <v>50</v>
      </c>
      <c r="B88" s="5">
        <v>0</v>
      </c>
      <c r="C88" s="5">
        <v>0</v>
      </c>
      <c r="D88" s="5">
        <v>1</v>
      </c>
      <c r="E88" s="5">
        <v>206</v>
      </c>
      <c r="F88" s="5">
        <f>ROUND(Source!T67,O88)</f>
        <v>0</v>
      </c>
      <c r="G88" s="5" t="s">
        <v>104</v>
      </c>
      <c r="H88" s="5" t="s">
        <v>105</v>
      </c>
      <c r="I88" s="5"/>
      <c r="J88" s="5"/>
      <c r="K88" s="5">
        <v>206</v>
      </c>
      <c r="L88" s="5">
        <v>20</v>
      </c>
      <c r="M88" s="5">
        <v>3</v>
      </c>
      <c r="N88" s="5" t="s">
        <v>6</v>
      </c>
      <c r="O88" s="5">
        <v>2</v>
      </c>
      <c r="P88" s="5">
        <f>ROUND(Source!DL67,O88)</f>
        <v>0</v>
      </c>
      <c r="Q88" s="5"/>
      <c r="R88" s="5"/>
      <c r="S88" s="5"/>
      <c r="T88" s="5"/>
      <c r="U88" s="5"/>
      <c r="V88" s="5"/>
      <c r="W88" s="5">
        <v>0</v>
      </c>
      <c r="X88" s="5">
        <v>1</v>
      </c>
      <c r="Y88" s="5">
        <v>0</v>
      </c>
      <c r="Z88" s="5">
        <v>0</v>
      </c>
      <c r="AA88" s="5">
        <v>1</v>
      </c>
      <c r="AB88" s="5">
        <v>0</v>
      </c>
    </row>
    <row r="89" spans="1:28">
      <c r="A89" s="5">
        <v>50</v>
      </c>
      <c r="B89" s="5">
        <v>0</v>
      </c>
      <c r="C89" s="5">
        <v>0</v>
      </c>
      <c r="D89" s="5">
        <v>1</v>
      </c>
      <c r="E89" s="5">
        <v>207</v>
      </c>
      <c r="F89" s="5">
        <f>Source!U67</f>
        <v>1183.47</v>
      </c>
      <c r="G89" s="5" t="s">
        <v>106</v>
      </c>
      <c r="H89" s="5" t="s">
        <v>107</v>
      </c>
      <c r="I89" s="5"/>
      <c r="J89" s="5"/>
      <c r="K89" s="5">
        <v>207</v>
      </c>
      <c r="L89" s="5">
        <v>21</v>
      </c>
      <c r="M89" s="5">
        <v>3</v>
      </c>
      <c r="N89" s="5" t="s">
        <v>6</v>
      </c>
      <c r="O89" s="5">
        <v>-1</v>
      </c>
      <c r="P89" s="5">
        <f>Source!DM67</f>
        <v>1183.47</v>
      </c>
      <c r="Q89" s="5"/>
      <c r="R89" s="5"/>
      <c r="S89" s="5"/>
      <c r="T89" s="5"/>
      <c r="U89" s="5"/>
      <c r="V89" s="5"/>
      <c r="W89" s="5">
        <v>1183.47</v>
      </c>
      <c r="X89" s="5">
        <v>1</v>
      </c>
      <c r="Y89" s="5">
        <v>1183.47</v>
      </c>
      <c r="Z89" s="5">
        <v>1183.47</v>
      </c>
      <c r="AA89" s="5">
        <v>1</v>
      </c>
      <c r="AB89" s="5">
        <v>1183.47</v>
      </c>
    </row>
    <row r="90" spans="1:28">
      <c r="A90" s="5">
        <v>50</v>
      </c>
      <c r="B90" s="5">
        <v>0</v>
      </c>
      <c r="C90" s="5">
        <v>0</v>
      </c>
      <c r="D90" s="5">
        <v>1</v>
      </c>
      <c r="E90" s="5">
        <v>208</v>
      </c>
      <c r="F90" s="5">
        <f>Source!V67</f>
        <v>0</v>
      </c>
      <c r="G90" s="5" t="s">
        <v>108</v>
      </c>
      <c r="H90" s="5" t="s">
        <v>109</v>
      </c>
      <c r="I90" s="5"/>
      <c r="J90" s="5"/>
      <c r="K90" s="5">
        <v>208</v>
      </c>
      <c r="L90" s="5">
        <v>22</v>
      </c>
      <c r="M90" s="5">
        <v>3</v>
      </c>
      <c r="N90" s="5" t="s">
        <v>6</v>
      </c>
      <c r="O90" s="5">
        <v>-1</v>
      </c>
      <c r="P90" s="5">
        <f>Source!DN67</f>
        <v>0</v>
      </c>
      <c r="Q90" s="5"/>
      <c r="R90" s="5"/>
      <c r="S90" s="5"/>
      <c r="T90" s="5"/>
      <c r="U90" s="5"/>
      <c r="V90" s="5"/>
      <c r="W90" s="5">
        <v>0</v>
      </c>
      <c r="X90" s="5">
        <v>1</v>
      </c>
      <c r="Y90" s="5">
        <v>0</v>
      </c>
      <c r="Z90" s="5">
        <v>0</v>
      </c>
      <c r="AA90" s="5">
        <v>1</v>
      </c>
      <c r="AB90" s="5">
        <v>0</v>
      </c>
    </row>
    <row r="91" spans="1:28">
      <c r="A91" s="5">
        <v>50</v>
      </c>
      <c r="B91" s="5">
        <v>0</v>
      </c>
      <c r="C91" s="5">
        <v>0</v>
      </c>
      <c r="D91" s="5">
        <v>1</v>
      </c>
      <c r="E91" s="5">
        <v>209</v>
      </c>
      <c r="F91" s="5">
        <f>ROUND(Source!W67,O91)</f>
        <v>0</v>
      </c>
      <c r="G91" s="5" t="s">
        <v>110</v>
      </c>
      <c r="H91" s="5" t="s">
        <v>111</v>
      </c>
      <c r="I91" s="5"/>
      <c r="J91" s="5"/>
      <c r="K91" s="5">
        <v>209</v>
      </c>
      <c r="L91" s="5">
        <v>23</v>
      </c>
      <c r="M91" s="5">
        <v>3</v>
      </c>
      <c r="N91" s="5" t="s">
        <v>6</v>
      </c>
      <c r="O91" s="5">
        <v>2</v>
      </c>
      <c r="P91" s="5">
        <f>ROUND(Source!DO67,O91)</f>
        <v>0</v>
      </c>
      <c r="Q91" s="5"/>
      <c r="R91" s="5"/>
      <c r="S91" s="5"/>
      <c r="T91" s="5"/>
      <c r="U91" s="5"/>
      <c r="V91" s="5"/>
      <c r="W91" s="5">
        <v>0</v>
      </c>
      <c r="X91" s="5">
        <v>1</v>
      </c>
      <c r="Y91" s="5">
        <v>0</v>
      </c>
      <c r="Z91" s="5">
        <v>0</v>
      </c>
      <c r="AA91" s="5">
        <v>1</v>
      </c>
      <c r="AB91" s="5">
        <v>0</v>
      </c>
    </row>
    <row r="92" spans="1:28">
      <c r="A92" s="5">
        <v>50</v>
      </c>
      <c r="B92" s="5">
        <v>0</v>
      </c>
      <c r="C92" s="5">
        <v>0</v>
      </c>
      <c r="D92" s="5">
        <v>1</v>
      </c>
      <c r="E92" s="5">
        <v>233</v>
      </c>
      <c r="F92" s="5">
        <f>ROUND(Source!BD67,O92)</f>
        <v>0</v>
      </c>
      <c r="G92" s="5" t="s">
        <v>112</v>
      </c>
      <c r="H92" s="5" t="s">
        <v>113</v>
      </c>
      <c r="I92" s="5"/>
      <c r="J92" s="5"/>
      <c r="K92" s="5">
        <v>233</v>
      </c>
      <c r="L92" s="5">
        <v>24</v>
      </c>
      <c r="M92" s="5">
        <v>3</v>
      </c>
      <c r="N92" s="5" t="s">
        <v>6</v>
      </c>
      <c r="O92" s="5">
        <v>2</v>
      </c>
      <c r="P92" s="5">
        <f>ROUND(Source!EV67,O92)</f>
        <v>0</v>
      </c>
      <c r="Q92" s="5"/>
      <c r="R92" s="5"/>
      <c r="S92" s="5"/>
      <c r="T92" s="5"/>
      <c r="U92" s="5"/>
      <c r="V92" s="5"/>
      <c r="W92" s="5">
        <v>0</v>
      </c>
      <c r="X92" s="5">
        <v>1</v>
      </c>
      <c r="Y92" s="5">
        <v>0</v>
      </c>
      <c r="Z92" s="5">
        <v>0</v>
      </c>
      <c r="AA92" s="5">
        <v>1</v>
      </c>
      <c r="AB92" s="5">
        <v>0</v>
      </c>
    </row>
    <row r="93" spans="1:28">
      <c r="A93" s="5">
        <v>50</v>
      </c>
      <c r="B93" s="5">
        <v>0</v>
      </c>
      <c r="C93" s="5">
        <v>0</v>
      </c>
      <c r="D93" s="5">
        <v>1</v>
      </c>
      <c r="E93" s="5">
        <v>210</v>
      </c>
      <c r="F93" s="5">
        <f>ROUND(Source!X67,O93)</f>
        <v>23159.41</v>
      </c>
      <c r="G93" s="5" t="s">
        <v>114</v>
      </c>
      <c r="H93" s="5" t="s">
        <v>115</v>
      </c>
      <c r="I93" s="5"/>
      <c r="J93" s="5"/>
      <c r="K93" s="5">
        <v>210</v>
      </c>
      <c r="L93" s="5">
        <v>25</v>
      </c>
      <c r="M93" s="5">
        <v>3</v>
      </c>
      <c r="N93" s="5" t="s">
        <v>6</v>
      </c>
      <c r="O93" s="5">
        <v>2</v>
      </c>
      <c r="P93" s="5">
        <f>ROUND(Source!DP67,O93)</f>
        <v>606894.15</v>
      </c>
      <c r="Q93" s="5"/>
      <c r="R93" s="5"/>
      <c r="S93" s="5"/>
      <c r="T93" s="5"/>
      <c r="U93" s="5"/>
      <c r="V93" s="5"/>
      <c r="W93" s="5">
        <v>23159.41</v>
      </c>
      <c r="X93" s="5">
        <v>1</v>
      </c>
      <c r="Y93" s="5">
        <v>23159.41</v>
      </c>
      <c r="Z93" s="5">
        <v>606894.15</v>
      </c>
      <c r="AA93" s="5">
        <v>1</v>
      </c>
      <c r="AB93" s="5">
        <v>606894.15</v>
      </c>
    </row>
    <row r="94" spans="1:28">
      <c r="A94" s="5">
        <v>50</v>
      </c>
      <c r="B94" s="5">
        <v>0</v>
      </c>
      <c r="C94" s="5">
        <v>0</v>
      </c>
      <c r="D94" s="5">
        <v>1</v>
      </c>
      <c r="E94" s="5">
        <v>211</v>
      </c>
      <c r="F94" s="5">
        <f>ROUND(Source!Y67,O94)</f>
        <v>12508.58</v>
      </c>
      <c r="G94" s="5" t="s">
        <v>116</v>
      </c>
      <c r="H94" s="5" t="s">
        <v>117</v>
      </c>
      <c r="I94" s="5"/>
      <c r="J94" s="5"/>
      <c r="K94" s="5">
        <v>211</v>
      </c>
      <c r="L94" s="5">
        <v>26</v>
      </c>
      <c r="M94" s="5">
        <v>3</v>
      </c>
      <c r="N94" s="5" t="s">
        <v>6</v>
      </c>
      <c r="O94" s="5">
        <v>2</v>
      </c>
      <c r="P94" s="5">
        <f>ROUND(Source!DQ67,O94)</f>
        <v>277437.32</v>
      </c>
      <c r="Q94" s="5"/>
      <c r="R94" s="5"/>
      <c r="S94" s="5"/>
      <c r="T94" s="5"/>
      <c r="U94" s="5"/>
      <c r="V94" s="5"/>
      <c r="W94" s="5">
        <v>12508.58</v>
      </c>
      <c r="X94" s="5">
        <v>1</v>
      </c>
      <c r="Y94" s="5">
        <v>12508.58</v>
      </c>
      <c r="Z94" s="5">
        <v>277437.32</v>
      </c>
      <c r="AA94" s="5">
        <v>1</v>
      </c>
      <c r="AB94" s="5">
        <v>277437.32</v>
      </c>
    </row>
    <row r="95" spans="1:28">
      <c r="A95" s="5">
        <v>50</v>
      </c>
      <c r="B95" s="5">
        <v>0</v>
      </c>
      <c r="C95" s="5">
        <v>0</v>
      </c>
      <c r="D95" s="5">
        <v>1</v>
      </c>
      <c r="E95" s="5">
        <v>224</v>
      </c>
      <c r="F95" s="5">
        <f>ROUND(Source!AR67,O95)</f>
        <v>130906.24000000001</v>
      </c>
      <c r="G95" s="5" t="s">
        <v>118</v>
      </c>
      <c r="H95" s="5" t="s">
        <v>119</v>
      </c>
      <c r="I95" s="5"/>
      <c r="J95" s="5"/>
      <c r="K95" s="5">
        <v>224</v>
      </c>
      <c r="L95" s="5">
        <v>27</v>
      </c>
      <c r="M95" s="5">
        <v>3</v>
      </c>
      <c r="N95" s="5" t="s">
        <v>6</v>
      </c>
      <c r="O95" s="5">
        <v>2</v>
      </c>
      <c r="P95" s="5">
        <f>ROUND(Source!EJ67,O95)</f>
        <v>2091320.55</v>
      </c>
      <c r="Q95" s="5"/>
      <c r="R95" s="5"/>
      <c r="S95" s="5"/>
      <c r="T95" s="5"/>
      <c r="U95" s="5"/>
      <c r="V95" s="5"/>
      <c r="W95" s="5">
        <v>130906.24000000001</v>
      </c>
      <c r="X95" s="5">
        <v>1</v>
      </c>
      <c r="Y95" s="5">
        <v>130906.24000000001</v>
      </c>
      <c r="Z95" s="5">
        <v>2091320.55</v>
      </c>
      <c r="AA95" s="5">
        <v>1</v>
      </c>
      <c r="AB95" s="5">
        <v>2091320.55</v>
      </c>
    </row>
    <row r="97" spans="1:206">
      <c r="A97" s="3">
        <v>51</v>
      </c>
      <c r="B97" s="3">
        <f>B24</f>
        <v>1</v>
      </c>
      <c r="C97" s="3">
        <f>A24</f>
        <v>4</v>
      </c>
      <c r="D97" s="3">
        <f>ROW(A24)</f>
        <v>24</v>
      </c>
      <c r="E97" s="3"/>
      <c r="F97" s="3" t="str">
        <f>IF(F24&lt;&gt;"",F24,"")</f>
        <v>Новый раздел</v>
      </c>
      <c r="G97" s="3" t="str">
        <f>IF(G24&lt;&gt;"",G24,"")</f>
        <v>Газон</v>
      </c>
      <c r="H97" s="3">
        <v>0</v>
      </c>
      <c r="I97" s="3"/>
      <c r="J97" s="3"/>
      <c r="K97" s="3"/>
      <c r="L97" s="3"/>
      <c r="M97" s="3"/>
      <c r="N97" s="3"/>
      <c r="O97" s="3">
        <f t="shared" ref="O97:T97" si="113">ROUND(O67+AB97,2)</f>
        <v>95206.81</v>
      </c>
      <c r="P97" s="3">
        <f t="shared" si="113"/>
        <v>82663.92</v>
      </c>
      <c r="Q97" s="3">
        <f t="shared" si="113"/>
        <v>158.18</v>
      </c>
      <c r="R97" s="3">
        <f t="shared" si="113"/>
        <v>17.96</v>
      </c>
      <c r="S97" s="3">
        <f t="shared" si="113"/>
        <v>12384.71</v>
      </c>
      <c r="T97" s="3">
        <f t="shared" si="113"/>
        <v>0</v>
      </c>
      <c r="U97" s="3">
        <f>U67+AH97</f>
        <v>1183.47</v>
      </c>
      <c r="V97" s="3">
        <f>V67+AI97</f>
        <v>0</v>
      </c>
      <c r="W97" s="3">
        <f>ROUND(W67+AJ97,2)</f>
        <v>0</v>
      </c>
      <c r="X97" s="3">
        <f>ROUND(X67+AK97,2)</f>
        <v>23159.41</v>
      </c>
      <c r="Y97" s="3">
        <f>ROUND(Y67+AL97,2)</f>
        <v>12508.58</v>
      </c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>
        <f t="shared" ref="AO97:BD97" si="114">ROUND(AO67+BX97,2)</f>
        <v>0</v>
      </c>
      <c r="AP97" s="3">
        <f t="shared" si="114"/>
        <v>0</v>
      </c>
      <c r="AQ97" s="3">
        <f t="shared" si="114"/>
        <v>0</v>
      </c>
      <c r="AR97" s="3">
        <f t="shared" si="114"/>
        <v>130906.24000000001</v>
      </c>
      <c r="AS97" s="3">
        <f t="shared" si="114"/>
        <v>130906.24000000001</v>
      </c>
      <c r="AT97" s="3">
        <f t="shared" si="114"/>
        <v>0</v>
      </c>
      <c r="AU97" s="3">
        <f t="shared" si="114"/>
        <v>0</v>
      </c>
      <c r="AV97" s="3">
        <f t="shared" si="114"/>
        <v>82663.92</v>
      </c>
      <c r="AW97" s="3">
        <f t="shared" si="114"/>
        <v>82663.92</v>
      </c>
      <c r="AX97" s="3">
        <f t="shared" si="114"/>
        <v>0</v>
      </c>
      <c r="AY97" s="3">
        <f t="shared" si="114"/>
        <v>82663.92</v>
      </c>
      <c r="AZ97" s="3">
        <f t="shared" si="114"/>
        <v>0</v>
      </c>
      <c r="BA97" s="3">
        <f t="shared" si="114"/>
        <v>0</v>
      </c>
      <c r="BB97" s="3">
        <f t="shared" si="114"/>
        <v>0</v>
      </c>
      <c r="BC97" s="3">
        <f t="shared" si="114"/>
        <v>0</v>
      </c>
      <c r="BD97" s="3">
        <f t="shared" si="114"/>
        <v>0</v>
      </c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4">
        <f t="shared" ref="DG97:DL97" si="115">ROUND(DG67+DT97,2)</f>
        <v>1205647.97</v>
      </c>
      <c r="DH97" s="4">
        <f t="shared" si="115"/>
        <v>625355.18999999994</v>
      </c>
      <c r="DI97" s="4">
        <f t="shared" si="115"/>
        <v>2298.36</v>
      </c>
      <c r="DJ97" s="4">
        <f t="shared" si="115"/>
        <v>838.19</v>
      </c>
      <c r="DK97" s="4">
        <f t="shared" si="115"/>
        <v>577994.42000000004</v>
      </c>
      <c r="DL97" s="4">
        <f t="shared" si="115"/>
        <v>0</v>
      </c>
      <c r="DM97" s="4">
        <f>DM67+DZ97</f>
        <v>1183.47</v>
      </c>
      <c r="DN97" s="4">
        <f>DN67+EA97</f>
        <v>0</v>
      </c>
      <c r="DO97" s="4">
        <f>ROUND(DO67+EB97,2)</f>
        <v>0</v>
      </c>
      <c r="DP97" s="4">
        <f>ROUND(DP67+EC97,2)</f>
        <v>606894.15</v>
      </c>
      <c r="DQ97" s="4">
        <f>ROUND(DQ67+ED97,2)</f>
        <v>277437.32</v>
      </c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>
        <f t="shared" ref="EG97:EV97" si="116">ROUND(EG67+FP97,2)</f>
        <v>0</v>
      </c>
      <c r="EH97" s="4">
        <f t="shared" si="116"/>
        <v>0</v>
      </c>
      <c r="EI97" s="4">
        <f t="shared" si="116"/>
        <v>0</v>
      </c>
      <c r="EJ97" s="4">
        <f t="shared" si="116"/>
        <v>2091320.55</v>
      </c>
      <c r="EK97" s="4">
        <f t="shared" si="116"/>
        <v>2091320.55</v>
      </c>
      <c r="EL97" s="4">
        <f t="shared" si="116"/>
        <v>0</v>
      </c>
      <c r="EM97" s="4">
        <f t="shared" si="116"/>
        <v>0</v>
      </c>
      <c r="EN97" s="4">
        <f t="shared" si="116"/>
        <v>625355.18999999994</v>
      </c>
      <c r="EO97" s="4">
        <f t="shared" si="116"/>
        <v>625355.18999999994</v>
      </c>
      <c r="EP97" s="4">
        <f t="shared" si="116"/>
        <v>0</v>
      </c>
      <c r="EQ97" s="4">
        <f t="shared" si="116"/>
        <v>625355.18999999994</v>
      </c>
      <c r="ER97" s="4">
        <f t="shared" si="116"/>
        <v>0</v>
      </c>
      <c r="ES97" s="4">
        <f t="shared" si="116"/>
        <v>0</v>
      </c>
      <c r="ET97" s="4">
        <f t="shared" si="116"/>
        <v>0</v>
      </c>
      <c r="EU97" s="4">
        <f t="shared" si="116"/>
        <v>0</v>
      </c>
      <c r="EV97" s="4">
        <f t="shared" si="116"/>
        <v>0</v>
      </c>
      <c r="EW97" s="4"/>
      <c r="EX97" s="4"/>
      <c r="EY97" s="4"/>
      <c r="EZ97" s="4"/>
      <c r="FA97" s="4"/>
      <c r="FB97" s="4"/>
      <c r="FC97" s="4"/>
      <c r="FD97" s="4"/>
      <c r="FE97" s="4"/>
      <c r="FF97" s="4"/>
      <c r="FG97" s="4"/>
      <c r="FH97" s="4"/>
      <c r="FI97" s="4"/>
      <c r="FJ97" s="4"/>
      <c r="FK97" s="4"/>
      <c r="FL97" s="4"/>
      <c r="FM97" s="4"/>
      <c r="FN97" s="4"/>
      <c r="FO97" s="4"/>
      <c r="FP97" s="4"/>
      <c r="FQ97" s="4"/>
      <c r="FR97" s="4"/>
      <c r="FS97" s="4"/>
      <c r="FT97" s="4"/>
      <c r="FU97" s="4"/>
      <c r="FV97" s="4"/>
      <c r="FW97" s="4"/>
      <c r="FX97" s="4"/>
      <c r="FY97" s="4"/>
      <c r="FZ97" s="4"/>
      <c r="GA97" s="4"/>
      <c r="GB97" s="4"/>
      <c r="GC97" s="4"/>
      <c r="GD97" s="4"/>
      <c r="GE97" s="4"/>
      <c r="GF97" s="4"/>
      <c r="GG97" s="4"/>
      <c r="GH97" s="4"/>
      <c r="GI97" s="4"/>
      <c r="GJ97" s="4"/>
      <c r="GK97" s="4"/>
      <c r="GL97" s="4"/>
      <c r="GM97" s="4"/>
      <c r="GN97" s="4"/>
      <c r="GO97" s="4"/>
      <c r="GP97" s="4"/>
      <c r="GQ97" s="4"/>
      <c r="GR97" s="4"/>
      <c r="GS97" s="4"/>
      <c r="GT97" s="4"/>
      <c r="GU97" s="4"/>
      <c r="GV97" s="4"/>
      <c r="GW97" s="4"/>
      <c r="GX97" s="4">
        <v>0</v>
      </c>
    </row>
    <row r="99" spans="1:206">
      <c r="A99" s="5">
        <v>50</v>
      </c>
      <c r="B99" s="5">
        <v>0</v>
      </c>
      <c r="C99" s="5">
        <v>0</v>
      </c>
      <c r="D99" s="5">
        <v>1</v>
      </c>
      <c r="E99" s="5">
        <v>201</v>
      </c>
      <c r="F99" s="5">
        <f>ROUND(Source!O97,O99)</f>
        <v>95206.81</v>
      </c>
      <c r="G99" s="5" t="s">
        <v>66</v>
      </c>
      <c r="H99" s="5" t="s">
        <v>67</v>
      </c>
      <c r="I99" s="5"/>
      <c r="J99" s="5"/>
      <c r="K99" s="5">
        <v>201</v>
      </c>
      <c r="L99" s="5">
        <v>1</v>
      </c>
      <c r="M99" s="5">
        <v>3</v>
      </c>
      <c r="N99" s="5" t="s">
        <v>6</v>
      </c>
      <c r="O99" s="5">
        <v>2</v>
      </c>
      <c r="P99" s="5">
        <f>ROUND(Source!DG97,O99)</f>
        <v>1205647.97</v>
      </c>
      <c r="Q99" s="5"/>
      <c r="R99" s="5"/>
      <c r="S99" s="5"/>
      <c r="T99" s="5"/>
      <c r="U99" s="5"/>
      <c r="V99" s="5"/>
      <c r="W99" s="5">
        <v>95206.81</v>
      </c>
      <c r="X99" s="5">
        <v>1</v>
      </c>
      <c r="Y99" s="5">
        <v>95206.81</v>
      </c>
      <c r="Z99" s="5">
        <v>1205647.97</v>
      </c>
      <c r="AA99" s="5">
        <v>1</v>
      </c>
      <c r="AB99" s="5">
        <v>1205647.97</v>
      </c>
    </row>
    <row r="100" spans="1:206">
      <c r="A100" s="5">
        <v>50</v>
      </c>
      <c r="B100" s="5">
        <v>0</v>
      </c>
      <c r="C100" s="5">
        <v>0</v>
      </c>
      <c r="D100" s="5">
        <v>1</v>
      </c>
      <c r="E100" s="5">
        <v>202</v>
      </c>
      <c r="F100" s="5">
        <f>ROUND(Source!P97,O100)</f>
        <v>82663.92</v>
      </c>
      <c r="G100" s="5" t="s">
        <v>68</v>
      </c>
      <c r="H100" s="5" t="s">
        <v>69</v>
      </c>
      <c r="I100" s="5"/>
      <c r="J100" s="5"/>
      <c r="K100" s="5">
        <v>202</v>
      </c>
      <c r="L100" s="5">
        <v>2</v>
      </c>
      <c r="M100" s="5">
        <v>3</v>
      </c>
      <c r="N100" s="5" t="s">
        <v>6</v>
      </c>
      <c r="O100" s="5">
        <v>2</v>
      </c>
      <c r="P100" s="5">
        <f>ROUND(Source!DH97,O100)</f>
        <v>625355.18999999994</v>
      </c>
      <c r="Q100" s="5"/>
      <c r="R100" s="5"/>
      <c r="S100" s="5"/>
      <c r="T100" s="5"/>
      <c r="U100" s="5"/>
      <c r="V100" s="5"/>
      <c r="W100" s="5">
        <v>82663.92</v>
      </c>
      <c r="X100" s="5">
        <v>1</v>
      </c>
      <c r="Y100" s="5">
        <v>82663.92</v>
      </c>
      <c r="Z100" s="5">
        <v>625355.18999999994</v>
      </c>
      <c r="AA100" s="5">
        <v>1</v>
      </c>
      <c r="AB100" s="5">
        <v>625355.18999999994</v>
      </c>
    </row>
    <row r="101" spans="1:206">
      <c r="A101" s="5">
        <v>50</v>
      </c>
      <c r="B101" s="5">
        <v>0</v>
      </c>
      <c r="C101" s="5">
        <v>0</v>
      </c>
      <c r="D101" s="5">
        <v>1</v>
      </c>
      <c r="E101" s="5">
        <v>222</v>
      </c>
      <c r="F101" s="5">
        <f>ROUND(Source!AO97,O101)</f>
        <v>0</v>
      </c>
      <c r="G101" s="5" t="s">
        <v>70</v>
      </c>
      <c r="H101" s="5" t="s">
        <v>71</v>
      </c>
      <c r="I101" s="5"/>
      <c r="J101" s="5"/>
      <c r="K101" s="5">
        <v>222</v>
      </c>
      <c r="L101" s="5">
        <v>3</v>
      </c>
      <c r="M101" s="5">
        <v>3</v>
      </c>
      <c r="N101" s="5" t="s">
        <v>6</v>
      </c>
      <c r="O101" s="5">
        <v>2</v>
      </c>
      <c r="P101" s="5">
        <f>ROUND(Source!EG97,O101)</f>
        <v>0</v>
      </c>
      <c r="Q101" s="5"/>
      <c r="R101" s="5"/>
      <c r="S101" s="5"/>
      <c r="T101" s="5"/>
      <c r="U101" s="5"/>
      <c r="V101" s="5"/>
      <c r="W101" s="5">
        <v>0</v>
      </c>
      <c r="X101" s="5">
        <v>1</v>
      </c>
      <c r="Y101" s="5">
        <v>0</v>
      </c>
      <c r="Z101" s="5">
        <v>0</v>
      </c>
      <c r="AA101" s="5">
        <v>1</v>
      </c>
      <c r="AB101" s="5">
        <v>0</v>
      </c>
    </row>
    <row r="102" spans="1:206">
      <c r="A102" s="5">
        <v>50</v>
      </c>
      <c r="B102" s="5">
        <v>0</v>
      </c>
      <c r="C102" s="5">
        <v>0</v>
      </c>
      <c r="D102" s="5">
        <v>1</v>
      </c>
      <c r="E102" s="5">
        <v>225</v>
      </c>
      <c r="F102" s="5">
        <f>ROUND(Source!AV97,O102)</f>
        <v>82663.92</v>
      </c>
      <c r="G102" s="5" t="s">
        <v>72</v>
      </c>
      <c r="H102" s="5" t="s">
        <v>73</v>
      </c>
      <c r="I102" s="5"/>
      <c r="J102" s="5"/>
      <c r="K102" s="5">
        <v>225</v>
      </c>
      <c r="L102" s="5">
        <v>4</v>
      </c>
      <c r="M102" s="5">
        <v>3</v>
      </c>
      <c r="N102" s="5" t="s">
        <v>6</v>
      </c>
      <c r="O102" s="5">
        <v>2</v>
      </c>
      <c r="P102" s="5">
        <f>ROUND(Source!EN97,O102)</f>
        <v>625355.18999999994</v>
      </c>
      <c r="Q102" s="5"/>
      <c r="R102" s="5"/>
      <c r="S102" s="5"/>
      <c r="T102" s="5"/>
      <c r="U102" s="5"/>
      <c r="V102" s="5"/>
      <c r="W102" s="5">
        <v>82663.92</v>
      </c>
      <c r="X102" s="5">
        <v>1</v>
      </c>
      <c r="Y102" s="5">
        <v>82663.92</v>
      </c>
      <c r="Z102" s="5">
        <v>625355.18999999994</v>
      </c>
      <c r="AA102" s="5">
        <v>1</v>
      </c>
      <c r="AB102" s="5">
        <v>625355.18999999994</v>
      </c>
    </row>
    <row r="103" spans="1:206">
      <c r="A103" s="5">
        <v>50</v>
      </c>
      <c r="B103" s="5">
        <v>0</v>
      </c>
      <c r="C103" s="5">
        <v>0</v>
      </c>
      <c r="D103" s="5">
        <v>1</v>
      </c>
      <c r="E103" s="5">
        <v>226</v>
      </c>
      <c r="F103" s="5">
        <f>ROUND(Source!AW97,O103)</f>
        <v>82663.92</v>
      </c>
      <c r="G103" s="5" t="s">
        <v>74</v>
      </c>
      <c r="H103" s="5" t="s">
        <v>75</v>
      </c>
      <c r="I103" s="5"/>
      <c r="J103" s="5"/>
      <c r="K103" s="5">
        <v>226</v>
      </c>
      <c r="L103" s="5">
        <v>5</v>
      </c>
      <c r="M103" s="5">
        <v>3</v>
      </c>
      <c r="N103" s="5" t="s">
        <v>6</v>
      </c>
      <c r="O103" s="5">
        <v>2</v>
      </c>
      <c r="P103" s="5">
        <f>ROUND(Source!EO97,O103)</f>
        <v>625355.18999999994</v>
      </c>
      <c r="Q103" s="5"/>
      <c r="R103" s="5"/>
      <c r="S103" s="5"/>
      <c r="T103" s="5"/>
      <c r="U103" s="5"/>
      <c r="V103" s="5"/>
      <c r="W103" s="5">
        <v>82663.92</v>
      </c>
      <c r="X103" s="5">
        <v>1</v>
      </c>
      <c r="Y103" s="5">
        <v>82663.92</v>
      </c>
      <c r="Z103" s="5">
        <v>625355.18999999994</v>
      </c>
      <c r="AA103" s="5">
        <v>1</v>
      </c>
      <c r="AB103" s="5">
        <v>625355.18999999994</v>
      </c>
    </row>
    <row r="104" spans="1:206">
      <c r="A104" s="5">
        <v>50</v>
      </c>
      <c r="B104" s="5">
        <v>0</v>
      </c>
      <c r="C104" s="5">
        <v>0</v>
      </c>
      <c r="D104" s="5">
        <v>1</v>
      </c>
      <c r="E104" s="5">
        <v>227</v>
      </c>
      <c r="F104" s="5">
        <f>ROUND(Source!AX97,O104)</f>
        <v>0</v>
      </c>
      <c r="G104" s="5" t="s">
        <v>76</v>
      </c>
      <c r="H104" s="5" t="s">
        <v>77</v>
      </c>
      <c r="I104" s="5"/>
      <c r="J104" s="5"/>
      <c r="K104" s="5">
        <v>227</v>
      </c>
      <c r="L104" s="5">
        <v>6</v>
      </c>
      <c r="M104" s="5">
        <v>3</v>
      </c>
      <c r="N104" s="5" t="s">
        <v>6</v>
      </c>
      <c r="O104" s="5">
        <v>2</v>
      </c>
      <c r="P104" s="5">
        <f>ROUND(Source!EP97,O104)</f>
        <v>0</v>
      </c>
      <c r="Q104" s="5"/>
      <c r="R104" s="5"/>
      <c r="S104" s="5"/>
      <c r="T104" s="5"/>
      <c r="U104" s="5"/>
      <c r="V104" s="5"/>
      <c r="W104" s="5">
        <v>0</v>
      </c>
      <c r="X104" s="5">
        <v>1</v>
      </c>
      <c r="Y104" s="5">
        <v>0</v>
      </c>
      <c r="Z104" s="5">
        <v>0</v>
      </c>
      <c r="AA104" s="5">
        <v>1</v>
      </c>
      <c r="AB104" s="5">
        <v>0</v>
      </c>
    </row>
    <row r="105" spans="1:206">
      <c r="A105" s="5">
        <v>50</v>
      </c>
      <c r="B105" s="5">
        <v>0</v>
      </c>
      <c r="C105" s="5">
        <v>0</v>
      </c>
      <c r="D105" s="5">
        <v>1</v>
      </c>
      <c r="E105" s="5">
        <v>228</v>
      </c>
      <c r="F105" s="5">
        <f>ROUND(Source!AY97,O105)</f>
        <v>82663.92</v>
      </c>
      <c r="G105" s="5" t="s">
        <v>78</v>
      </c>
      <c r="H105" s="5" t="s">
        <v>79</v>
      </c>
      <c r="I105" s="5"/>
      <c r="J105" s="5"/>
      <c r="K105" s="5">
        <v>228</v>
      </c>
      <c r="L105" s="5">
        <v>7</v>
      </c>
      <c r="M105" s="5">
        <v>3</v>
      </c>
      <c r="N105" s="5" t="s">
        <v>6</v>
      </c>
      <c r="O105" s="5">
        <v>2</v>
      </c>
      <c r="P105" s="5">
        <f>ROUND(Source!EQ97,O105)</f>
        <v>625355.18999999994</v>
      </c>
      <c r="Q105" s="5"/>
      <c r="R105" s="5"/>
      <c r="S105" s="5"/>
      <c r="T105" s="5"/>
      <c r="U105" s="5"/>
      <c r="V105" s="5"/>
      <c r="W105" s="5">
        <v>82663.92</v>
      </c>
      <c r="X105" s="5">
        <v>1</v>
      </c>
      <c r="Y105" s="5">
        <v>82663.92</v>
      </c>
      <c r="Z105" s="5">
        <v>625355.18999999994</v>
      </c>
      <c r="AA105" s="5">
        <v>1</v>
      </c>
      <c r="AB105" s="5">
        <v>625355.18999999994</v>
      </c>
    </row>
    <row r="106" spans="1:206">
      <c r="A106" s="5">
        <v>50</v>
      </c>
      <c r="B106" s="5">
        <v>0</v>
      </c>
      <c r="C106" s="5">
        <v>0</v>
      </c>
      <c r="D106" s="5">
        <v>1</v>
      </c>
      <c r="E106" s="5">
        <v>216</v>
      </c>
      <c r="F106" s="5">
        <f>ROUND(Source!AP97,O106)</f>
        <v>0</v>
      </c>
      <c r="G106" s="5" t="s">
        <v>80</v>
      </c>
      <c r="H106" s="5" t="s">
        <v>81</v>
      </c>
      <c r="I106" s="5"/>
      <c r="J106" s="5"/>
      <c r="K106" s="5">
        <v>216</v>
      </c>
      <c r="L106" s="5">
        <v>8</v>
      </c>
      <c r="M106" s="5">
        <v>3</v>
      </c>
      <c r="N106" s="5" t="s">
        <v>6</v>
      </c>
      <c r="O106" s="5">
        <v>2</v>
      </c>
      <c r="P106" s="5">
        <f>ROUND(Source!EH97,O106)</f>
        <v>0</v>
      </c>
      <c r="Q106" s="5"/>
      <c r="R106" s="5"/>
      <c r="S106" s="5"/>
      <c r="T106" s="5"/>
      <c r="U106" s="5"/>
      <c r="V106" s="5"/>
      <c r="W106" s="5">
        <v>0</v>
      </c>
      <c r="X106" s="5">
        <v>1</v>
      </c>
      <c r="Y106" s="5">
        <v>0</v>
      </c>
      <c r="Z106" s="5">
        <v>0</v>
      </c>
      <c r="AA106" s="5">
        <v>1</v>
      </c>
      <c r="AB106" s="5">
        <v>0</v>
      </c>
    </row>
    <row r="107" spans="1:206">
      <c r="A107" s="5">
        <v>50</v>
      </c>
      <c r="B107" s="5">
        <v>0</v>
      </c>
      <c r="C107" s="5">
        <v>0</v>
      </c>
      <c r="D107" s="5">
        <v>1</v>
      </c>
      <c r="E107" s="5">
        <v>223</v>
      </c>
      <c r="F107" s="5">
        <f>ROUND(Source!AQ97,O107)</f>
        <v>0</v>
      </c>
      <c r="G107" s="5" t="s">
        <v>82</v>
      </c>
      <c r="H107" s="5" t="s">
        <v>83</v>
      </c>
      <c r="I107" s="5"/>
      <c r="J107" s="5"/>
      <c r="K107" s="5">
        <v>223</v>
      </c>
      <c r="L107" s="5">
        <v>9</v>
      </c>
      <c r="M107" s="5">
        <v>3</v>
      </c>
      <c r="N107" s="5" t="s">
        <v>6</v>
      </c>
      <c r="O107" s="5">
        <v>2</v>
      </c>
      <c r="P107" s="5">
        <f>ROUND(Source!EI97,O107)</f>
        <v>0</v>
      </c>
      <c r="Q107" s="5"/>
      <c r="R107" s="5"/>
      <c r="S107" s="5"/>
      <c r="T107" s="5"/>
      <c r="U107" s="5"/>
      <c r="V107" s="5"/>
      <c r="W107" s="5">
        <v>0</v>
      </c>
      <c r="X107" s="5">
        <v>1</v>
      </c>
      <c r="Y107" s="5">
        <v>0</v>
      </c>
      <c r="Z107" s="5">
        <v>0</v>
      </c>
      <c r="AA107" s="5">
        <v>1</v>
      </c>
      <c r="AB107" s="5">
        <v>0</v>
      </c>
    </row>
    <row r="108" spans="1:206">
      <c r="A108" s="5">
        <v>50</v>
      </c>
      <c r="B108" s="5">
        <v>0</v>
      </c>
      <c r="C108" s="5">
        <v>0</v>
      </c>
      <c r="D108" s="5">
        <v>1</v>
      </c>
      <c r="E108" s="5">
        <v>229</v>
      </c>
      <c r="F108" s="5">
        <f>ROUND(Source!AZ97,O108)</f>
        <v>0</v>
      </c>
      <c r="G108" s="5" t="s">
        <v>84</v>
      </c>
      <c r="H108" s="5" t="s">
        <v>85</v>
      </c>
      <c r="I108" s="5"/>
      <c r="J108" s="5"/>
      <c r="K108" s="5">
        <v>229</v>
      </c>
      <c r="L108" s="5">
        <v>10</v>
      </c>
      <c r="M108" s="5">
        <v>3</v>
      </c>
      <c r="N108" s="5" t="s">
        <v>6</v>
      </c>
      <c r="O108" s="5">
        <v>2</v>
      </c>
      <c r="P108" s="5">
        <f>ROUND(Source!ER97,O108)</f>
        <v>0</v>
      </c>
      <c r="Q108" s="5"/>
      <c r="R108" s="5"/>
      <c r="S108" s="5"/>
      <c r="T108" s="5"/>
      <c r="U108" s="5"/>
      <c r="V108" s="5"/>
      <c r="W108" s="5">
        <v>0</v>
      </c>
      <c r="X108" s="5">
        <v>1</v>
      </c>
      <c r="Y108" s="5">
        <v>0</v>
      </c>
      <c r="Z108" s="5">
        <v>0</v>
      </c>
      <c r="AA108" s="5">
        <v>1</v>
      </c>
      <c r="AB108" s="5">
        <v>0</v>
      </c>
    </row>
    <row r="109" spans="1:206">
      <c r="A109" s="5">
        <v>50</v>
      </c>
      <c r="B109" s="5">
        <v>0</v>
      </c>
      <c r="C109" s="5">
        <v>0</v>
      </c>
      <c r="D109" s="5">
        <v>1</v>
      </c>
      <c r="E109" s="5">
        <v>203</v>
      </c>
      <c r="F109" s="5">
        <f>ROUND(Source!Q97,O109)</f>
        <v>158.18</v>
      </c>
      <c r="G109" s="5" t="s">
        <v>86</v>
      </c>
      <c r="H109" s="5" t="s">
        <v>87</v>
      </c>
      <c r="I109" s="5"/>
      <c r="J109" s="5"/>
      <c r="K109" s="5">
        <v>203</v>
      </c>
      <c r="L109" s="5">
        <v>11</v>
      </c>
      <c r="M109" s="5">
        <v>3</v>
      </c>
      <c r="N109" s="5" t="s">
        <v>6</v>
      </c>
      <c r="O109" s="5">
        <v>2</v>
      </c>
      <c r="P109" s="5">
        <f>ROUND(Source!DI97,O109)</f>
        <v>2298.36</v>
      </c>
      <c r="Q109" s="5"/>
      <c r="R109" s="5"/>
      <c r="S109" s="5"/>
      <c r="T109" s="5"/>
      <c r="U109" s="5"/>
      <c r="V109" s="5"/>
      <c r="W109" s="5">
        <v>158.18</v>
      </c>
      <c r="X109" s="5">
        <v>1</v>
      </c>
      <c r="Y109" s="5">
        <v>158.18</v>
      </c>
      <c r="Z109" s="5">
        <v>2298.36</v>
      </c>
      <c r="AA109" s="5">
        <v>1</v>
      </c>
      <c r="AB109" s="5">
        <v>2298.36</v>
      </c>
    </row>
    <row r="110" spans="1:206">
      <c r="A110" s="5">
        <v>50</v>
      </c>
      <c r="B110" s="5">
        <v>0</v>
      </c>
      <c r="C110" s="5">
        <v>0</v>
      </c>
      <c r="D110" s="5">
        <v>1</v>
      </c>
      <c r="E110" s="5">
        <v>231</v>
      </c>
      <c r="F110" s="5">
        <f>ROUND(Source!BB97,O110)</f>
        <v>0</v>
      </c>
      <c r="G110" s="5" t="s">
        <v>88</v>
      </c>
      <c r="H110" s="5" t="s">
        <v>89</v>
      </c>
      <c r="I110" s="5"/>
      <c r="J110" s="5"/>
      <c r="K110" s="5">
        <v>231</v>
      </c>
      <c r="L110" s="5">
        <v>12</v>
      </c>
      <c r="M110" s="5">
        <v>3</v>
      </c>
      <c r="N110" s="5" t="s">
        <v>6</v>
      </c>
      <c r="O110" s="5">
        <v>2</v>
      </c>
      <c r="P110" s="5">
        <f>ROUND(Source!ET97,O110)</f>
        <v>0</v>
      </c>
      <c r="Q110" s="5"/>
      <c r="R110" s="5"/>
      <c r="S110" s="5"/>
      <c r="T110" s="5"/>
      <c r="U110" s="5"/>
      <c r="V110" s="5"/>
      <c r="W110" s="5">
        <v>0</v>
      </c>
      <c r="X110" s="5">
        <v>1</v>
      </c>
      <c r="Y110" s="5">
        <v>0</v>
      </c>
      <c r="Z110" s="5">
        <v>0</v>
      </c>
      <c r="AA110" s="5">
        <v>1</v>
      </c>
      <c r="AB110" s="5">
        <v>0</v>
      </c>
    </row>
    <row r="111" spans="1:206">
      <c r="A111" s="5">
        <v>50</v>
      </c>
      <c r="B111" s="5">
        <v>0</v>
      </c>
      <c r="C111" s="5">
        <v>0</v>
      </c>
      <c r="D111" s="5">
        <v>1</v>
      </c>
      <c r="E111" s="5">
        <v>204</v>
      </c>
      <c r="F111" s="5">
        <f>ROUND(Source!R97,O111)</f>
        <v>17.96</v>
      </c>
      <c r="G111" s="5" t="s">
        <v>90</v>
      </c>
      <c r="H111" s="5" t="s">
        <v>91</v>
      </c>
      <c r="I111" s="5"/>
      <c r="J111" s="5"/>
      <c r="K111" s="5">
        <v>204</v>
      </c>
      <c r="L111" s="5">
        <v>13</v>
      </c>
      <c r="M111" s="5">
        <v>3</v>
      </c>
      <c r="N111" s="5" t="s">
        <v>6</v>
      </c>
      <c r="O111" s="5">
        <v>2</v>
      </c>
      <c r="P111" s="5">
        <f>ROUND(Source!DJ97,O111)</f>
        <v>838.19</v>
      </c>
      <c r="Q111" s="5"/>
      <c r="R111" s="5"/>
      <c r="S111" s="5"/>
      <c r="T111" s="5"/>
      <c r="U111" s="5"/>
      <c r="V111" s="5"/>
      <c r="W111" s="5">
        <v>17.96</v>
      </c>
      <c r="X111" s="5">
        <v>1</v>
      </c>
      <c r="Y111" s="5">
        <v>17.96</v>
      </c>
      <c r="Z111" s="5">
        <v>838.19</v>
      </c>
      <c r="AA111" s="5">
        <v>1</v>
      </c>
      <c r="AB111" s="5">
        <v>838.19</v>
      </c>
    </row>
    <row r="112" spans="1:206">
      <c r="A112" s="5">
        <v>50</v>
      </c>
      <c r="B112" s="5">
        <v>0</v>
      </c>
      <c r="C112" s="5">
        <v>0</v>
      </c>
      <c r="D112" s="5">
        <v>1</v>
      </c>
      <c r="E112" s="5">
        <v>205</v>
      </c>
      <c r="F112" s="5">
        <f>ROUND(Source!S97,O112)</f>
        <v>12384.71</v>
      </c>
      <c r="G112" s="5" t="s">
        <v>92</v>
      </c>
      <c r="H112" s="5" t="s">
        <v>93</v>
      </c>
      <c r="I112" s="5"/>
      <c r="J112" s="5"/>
      <c r="K112" s="5">
        <v>205</v>
      </c>
      <c r="L112" s="5">
        <v>14</v>
      </c>
      <c r="M112" s="5">
        <v>3</v>
      </c>
      <c r="N112" s="5" t="s">
        <v>6</v>
      </c>
      <c r="O112" s="5">
        <v>2</v>
      </c>
      <c r="P112" s="5">
        <f>ROUND(Source!DK97,O112)</f>
        <v>577994.42000000004</v>
      </c>
      <c r="Q112" s="5"/>
      <c r="R112" s="5"/>
      <c r="S112" s="5"/>
      <c r="T112" s="5"/>
      <c r="U112" s="5"/>
      <c r="V112" s="5"/>
      <c r="W112" s="5">
        <v>12384.71</v>
      </c>
      <c r="X112" s="5">
        <v>1</v>
      </c>
      <c r="Y112" s="5">
        <v>12384.71</v>
      </c>
      <c r="Z112" s="5">
        <v>577994.42000000004</v>
      </c>
      <c r="AA112" s="5">
        <v>1</v>
      </c>
      <c r="AB112" s="5">
        <v>577994.42000000004</v>
      </c>
    </row>
    <row r="113" spans="1:88">
      <c r="A113" s="5">
        <v>50</v>
      </c>
      <c r="B113" s="5">
        <v>0</v>
      </c>
      <c r="C113" s="5">
        <v>0</v>
      </c>
      <c r="D113" s="5">
        <v>1</v>
      </c>
      <c r="E113" s="5">
        <v>232</v>
      </c>
      <c r="F113" s="5">
        <f>ROUND(Source!BC97,O113)</f>
        <v>0</v>
      </c>
      <c r="G113" s="5" t="s">
        <v>94</v>
      </c>
      <c r="H113" s="5" t="s">
        <v>95</v>
      </c>
      <c r="I113" s="5"/>
      <c r="J113" s="5"/>
      <c r="K113" s="5">
        <v>232</v>
      </c>
      <c r="L113" s="5">
        <v>15</v>
      </c>
      <c r="M113" s="5">
        <v>3</v>
      </c>
      <c r="N113" s="5" t="s">
        <v>6</v>
      </c>
      <c r="O113" s="5">
        <v>2</v>
      </c>
      <c r="P113" s="5">
        <f>ROUND(Source!EU97,O113)</f>
        <v>0</v>
      </c>
      <c r="Q113" s="5"/>
      <c r="R113" s="5"/>
      <c r="S113" s="5"/>
      <c r="T113" s="5"/>
      <c r="U113" s="5"/>
      <c r="V113" s="5"/>
      <c r="W113" s="5">
        <v>0</v>
      </c>
      <c r="X113" s="5">
        <v>1</v>
      </c>
      <c r="Y113" s="5">
        <v>0</v>
      </c>
      <c r="Z113" s="5">
        <v>0</v>
      </c>
      <c r="AA113" s="5">
        <v>1</v>
      </c>
      <c r="AB113" s="5">
        <v>0</v>
      </c>
    </row>
    <row r="114" spans="1:88">
      <c r="A114" s="5">
        <v>50</v>
      </c>
      <c r="B114" s="5">
        <v>0</v>
      </c>
      <c r="C114" s="5">
        <v>0</v>
      </c>
      <c r="D114" s="5">
        <v>1</v>
      </c>
      <c r="E114" s="5">
        <v>214</v>
      </c>
      <c r="F114" s="5">
        <f>ROUND(Source!AS97,O114)</f>
        <v>130906.24000000001</v>
      </c>
      <c r="G114" s="5" t="s">
        <v>96</v>
      </c>
      <c r="H114" s="5" t="s">
        <v>97</v>
      </c>
      <c r="I114" s="5"/>
      <c r="J114" s="5"/>
      <c r="K114" s="5">
        <v>214</v>
      </c>
      <c r="L114" s="5">
        <v>16</v>
      </c>
      <c r="M114" s="5">
        <v>3</v>
      </c>
      <c r="N114" s="5" t="s">
        <v>6</v>
      </c>
      <c r="O114" s="5">
        <v>2</v>
      </c>
      <c r="P114" s="5">
        <f>ROUND(Source!EK97,O114)</f>
        <v>2091320.55</v>
      </c>
      <c r="Q114" s="5"/>
      <c r="R114" s="5"/>
      <c r="S114" s="5"/>
      <c r="T114" s="5"/>
      <c r="U114" s="5"/>
      <c r="V114" s="5"/>
      <c r="W114" s="5">
        <v>130906.24000000001</v>
      </c>
      <c r="X114" s="5">
        <v>1</v>
      </c>
      <c r="Y114" s="5">
        <v>130906.24000000001</v>
      </c>
      <c r="Z114" s="5">
        <v>2091320.55</v>
      </c>
      <c r="AA114" s="5">
        <v>1</v>
      </c>
      <c r="AB114" s="5">
        <v>2091320.55</v>
      </c>
    </row>
    <row r="115" spans="1:88">
      <c r="A115" s="5">
        <v>50</v>
      </c>
      <c r="B115" s="5">
        <v>0</v>
      </c>
      <c r="C115" s="5">
        <v>0</v>
      </c>
      <c r="D115" s="5">
        <v>1</v>
      </c>
      <c r="E115" s="5">
        <v>215</v>
      </c>
      <c r="F115" s="5">
        <f>ROUND(Source!AT97,O115)</f>
        <v>0</v>
      </c>
      <c r="G115" s="5" t="s">
        <v>98</v>
      </c>
      <c r="H115" s="5" t="s">
        <v>99</v>
      </c>
      <c r="I115" s="5"/>
      <c r="J115" s="5"/>
      <c r="K115" s="5">
        <v>215</v>
      </c>
      <c r="L115" s="5">
        <v>17</v>
      </c>
      <c r="M115" s="5">
        <v>3</v>
      </c>
      <c r="N115" s="5" t="s">
        <v>6</v>
      </c>
      <c r="O115" s="5">
        <v>2</v>
      </c>
      <c r="P115" s="5">
        <f>ROUND(Source!EL97,O115)</f>
        <v>0</v>
      </c>
      <c r="Q115" s="5"/>
      <c r="R115" s="5"/>
      <c r="S115" s="5"/>
      <c r="T115" s="5"/>
      <c r="U115" s="5"/>
      <c r="V115" s="5"/>
      <c r="W115" s="5">
        <v>0</v>
      </c>
      <c r="X115" s="5">
        <v>1</v>
      </c>
      <c r="Y115" s="5">
        <v>0</v>
      </c>
      <c r="Z115" s="5">
        <v>0</v>
      </c>
      <c r="AA115" s="5">
        <v>1</v>
      </c>
      <c r="AB115" s="5">
        <v>0</v>
      </c>
    </row>
    <row r="116" spans="1:88">
      <c r="A116" s="5">
        <v>50</v>
      </c>
      <c r="B116" s="5">
        <v>0</v>
      </c>
      <c r="C116" s="5">
        <v>0</v>
      </c>
      <c r="D116" s="5">
        <v>1</v>
      </c>
      <c r="E116" s="5">
        <v>217</v>
      </c>
      <c r="F116" s="5">
        <f>ROUND(Source!AU97,O116)</f>
        <v>0</v>
      </c>
      <c r="G116" s="5" t="s">
        <v>100</v>
      </c>
      <c r="H116" s="5" t="s">
        <v>101</v>
      </c>
      <c r="I116" s="5"/>
      <c r="J116" s="5"/>
      <c r="K116" s="5">
        <v>217</v>
      </c>
      <c r="L116" s="5">
        <v>18</v>
      </c>
      <c r="M116" s="5">
        <v>3</v>
      </c>
      <c r="N116" s="5" t="s">
        <v>6</v>
      </c>
      <c r="O116" s="5">
        <v>2</v>
      </c>
      <c r="P116" s="5">
        <f>ROUND(Source!EM97,O116)</f>
        <v>0</v>
      </c>
      <c r="Q116" s="5"/>
      <c r="R116" s="5"/>
      <c r="S116" s="5"/>
      <c r="T116" s="5"/>
      <c r="U116" s="5"/>
      <c r="V116" s="5"/>
      <c r="W116" s="5">
        <v>0</v>
      </c>
      <c r="X116" s="5">
        <v>1</v>
      </c>
      <c r="Y116" s="5">
        <v>0</v>
      </c>
      <c r="Z116" s="5">
        <v>0</v>
      </c>
      <c r="AA116" s="5">
        <v>1</v>
      </c>
      <c r="AB116" s="5">
        <v>0</v>
      </c>
    </row>
    <row r="117" spans="1:88">
      <c r="A117" s="5">
        <v>50</v>
      </c>
      <c r="B117" s="5">
        <v>0</v>
      </c>
      <c r="C117" s="5">
        <v>0</v>
      </c>
      <c r="D117" s="5">
        <v>1</v>
      </c>
      <c r="E117" s="5">
        <v>230</v>
      </c>
      <c r="F117" s="5">
        <f>ROUND(Source!BA97,O117)</f>
        <v>0</v>
      </c>
      <c r="G117" s="5" t="s">
        <v>102</v>
      </c>
      <c r="H117" s="5" t="s">
        <v>103</v>
      </c>
      <c r="I117" s="5"/>
      <c r="J117" s="5"/>
      <c r="K117" s="5">
        <v>230</v>
      </c>
      <c r="L117" s="5">
        <v>19</v>
      </c>
      <c r="M117" s="5">
        <v>3</v>
      </c>
      <c r="N117" s="5" t="s">
        <v>6</v>
      </c>
      <c r="O117" s="5">
        <v>2</v>
      </c>
      <c r="P117" s="5">
        <f>ROUND(Source!ES97,O117)</f>
        <v>0</v>
      </c>
      <c r="Q117" s="5"/>
      <c r="R117" s="5"/>
      <c r="S117" s="5"/>
      <c r="T117" s="5"/>
      <c r="U117" s="5"/>
      <c r="V117" s="5"/>
      <c r="W117" s="5">
        <v>0</v>
      </c>
      <c r="X117" s="5">
        <v>1</v>
      </c>
      <c r="Y117" s="5">
        <v>0</v>
      </c>
      <c r="Z117" s="5">
        <v>0</v>
      </c>
      <c r="AA117" s="5">
        <v>1</v>
      </c>
      <c r="AB117" s="5">
        <v>0</v>
      </c>
    </row>
    <row r="118" spans="1:88">
      <c r="A118" s="5">
        <v>50</v>
      </c>
      <c r="B118" s="5">
        <v>0</v>
      </c>
      <c r="C118" s="5">
        <v>0</v>
      </c>
      <c r="D118" s="5">
        <v>1</v>
      </c>
      <c r="E118" s="5">
        <v>206</v>
      </c>
      <c r="F118" s="5">
        <f>ROUND(Source!T97,O118)</f>
        <v>0</v>
      </c>
      <c r="G118" s="5" t="s">
        <v>104</v>
      </c>
      <c r="H118" s="5" t="s">
        <v>105</v>
      </c>
      <c r="I118" s="5"/>
      <c r="J118" s="5"/>
      <c r="K118" s="5">
        <v>206</v>
      </c>
      <c r="L118" s="5">
        <v>20</v>
      </c>
      <c r="M118" s="5">
        <v>3</v>
      </c>
      <c r="N118" s="5" t="s">
        <v>6</v>
      </c>
      <c r="O118" s="5">
        <v>2</v>
      </c>
      <c r="P118" s="5">
        <f>ROUND(Source!DL97,O118)</f>
        <v>0</v>
      </c>
      <c r="Q118" s="5"/>
      <c r="R118" s="5"/>
      <c r="S118" s="5"/>
      <c r="T118" s="5"/>
      <c r="U118" s="5"/>
      <c r="V118" s="5"/>
      <c r="W118" s="5">
        <v>0</v>
      </c>
      <c r="X118" s="5">
        <v>1</v>
      </c>
      <c r="Y118" s="5">
        <v>0</v>
      </c>
      <c r="Z118" s="5">
        <v>0</v>
      </c>
      <c r="AA118" s="5">
        <v>1</v>
      </c>
      <c r="AB118" s="5">
        <v>0</v>
      </c>
    </row>
    <row r="119" spans="1:88">
      <c r="A119" s="5">
        <v>50</v>
      </c>
      <c r="B119" s="5">
        <v>0</v>
      </c>
      <c r="C119" s="5">
        <v>0</v>
      </c>
      <c r="D119" s="5">
        <v>1</v>
      </c>
      <c r="E119" s="5">
        <v>207</v>
      </c>
      <c r="F119" s="5">
        <f>Source!U97</f>
        <v>1183.47</v>
      </c>
      <c r="G119" s="5" t="s">
        <v>106</v>
      </c>
      <c r="H119" s="5" t="s">
        <v>107</v>
      </c>
      <c r="I119" s="5"/>
      <c r="J119" s="5"/>
      <c r="K119" s="5">
        <v>207</v>
      </c>
      <c r="L119" s="5">
        <v>21</v>
      </c>
      <c r="M119" s="5">
        <v>3</v>
      </c>
      <c r="N119" s="5" t="s">
        <v>6</v>
      </c>
      <c r="O119" s="5">
        <v>-1</v>
      </c>
      <c r="P119" s="5">
        <f>Source!DM97</f>
        <v>1183.47</v>
      </c>
      <c r="Q119" s="5"/>
      <c r="R119" s="5"/>
      <c r="S119" s="5"/>
      <c r="T119" s="5"/>
      <c r="U119" s="5"/>
      <c r="V119" s="5"/>
      <c r="W119" s="5">
        <v>1183.47</v>
      </c>
      <c r="X119" s="5">
        <v>1</v>
      </c>
      <c r="Y119" s="5">
        <v>1183.47</v>
      </c>
      <c r="Z119" s="5">
        <v>1183.47</v>
      </c>
      <c r="AA119" s="5">
        <v>1</v>
      </c>
      <c r="AB119" s="5">
        <v>1183.47</v>
      </c>
    </row>
    <row r="120" spans="1:88">
      <c r="A120" s="5">
        <v>50</v>
      </c>
      <c r="B120" s="5">
        <v>0</v>
      </c>
      <c r="C120" s="5">
        <v>0</v>
      </c>
      <c r="D120" s="5">
        <v>1</v>
      </c>
      <c r="E120" s="5">
        <v>208</v>
      </c>
      <c r="F120" s="5">
        <f>Source!V97</f>
        <v>0</v>
      </c>
      <c r="G120" s="5" t="s">
        <v>108</v>
      </c>
      <c r="H120" s="5" t="s">
        <v>109</v>
      </c>
      <c r="I120" s="5"/>
      <c r="J120" s="5"/>
      <c r="K120" s="5">
        <v>208</v>
      </c>
      <c r="L120" s="5">
        <v>22</v>
      </c>
      <c r="M120" s="5">
        <v>3</v>
      </c>
      <c r="N120" s="5" t="s">
        <v>6</v>
      </c>
      <c r="O120" s="5">
        <v>-1</v>
      </c>
      <c r="P120" s="5">
        <f>Source!DN97</f>
        <v>0</v>
      </c>
      <c r="Q120" s="5"/>
      <c r="R120" s="5"/>
      <c r="S120" s="5"/>
      <c r="T120" s="5"/>
      <c r="U120" s="5"/>
      <c r="V120" s="5"/>
      <c r="W120" s="5">
        <v>0</v>
      </c>
      <c r="X120" s="5">
        <v>1</v>
      </c>
      <c r="Y120" s="5">
        <v>0</v>
      </c>
      <c r="Z120" s="5">
        <v>0</v>
      </c>
      <c r="AA120" s="5">
        <v>1</v>
      </c>
      <c r="AB120" s="5">
        <v>0</v>
      </c>
    </row>
    <row r="121" spans="1:88">
      <c r="A121" s="5">
        <v>50</v>
      </c>
      <c r="B121" s="5">
        <v>0</v>
      </c>
      <c r="C121" s="5">
        <v>0</v>
      </c>
      <c r="D121" s="5">
        <v>1</v>
      </c>
      <c r="E121" s="5">
        <v>209</v>
      </c>
      <c r="F121" s="5">
        <f>ROUND(Source!W97,O121)</f>
        <v>0</v>
      </c>
      <c r="G121" s="5" t="s">
        <v>110</v>
      </c>
      <c r="H121" s="5" t="s">
        <v>111</v>
      </c>
      <c r="I121" s="5"/>
      <c r="J121" s="5"/>
      <c r="K121" s="5">
        <v>209</v>
      </c>
      <c r="L121" s="5">
        <v>23</v>
      </c>
      <c r="M121" s="5">
        <v>3</v>
      </c>
      <c r="N121" s="5" t="s">
        <v>6</v>
      </c>
      <c r="O121" s="5">
        <v>2</v>
      </c>
      <c r="P121" s="5">
        <f>ROUND(Source!DO97,O121)</f>
        <v>0</v>
      </c>
      <c r="Q121" s="5"/>
      <c r="R121" s="5"/>
      <c r="S121" s="5"/>
      <c r="T121" s="5"/>
      <c r="U121" s="5"/>
      <c r="V121" s="5"/>
      <c r="W121" s="5">
        <v>0</v>
      </c>
      <c r="X121" s="5">
        <v>1</v>
      </c>
      <c r="Y121" s="5">
        <v>0</v>
      </c>
      <c r="Z121" s="5">
        <v>0</v>
      </c>
      <c r="AA121" s="5">
        <v>1</v>
      </c>
      <c r="AB121" s="5">
        <v>0</v>
      </c>
    </row>
    <row r="122" spans="1:88">
      <c r="A122" s="5">
        <v>50</v>
      </c>
      <c r="B122" s="5">
        <v>0</v>
      </c>
      <c r="C122" s="5">
        <v>0</v>
      </c>
      <c r="D122" s="5">
        <v>1</v>
      </c>
      <c r="E122" s="5">
        <v>233</v>
      </c>
      <c r="F122" s="5">
        <f>ROUND(Source!BD97,O122)</f>
        <v>0</v>
      </c>
      <c r="G122" s="5" t="s">
        <v>112</v>
      </c>
      <c r="H122" s="5" t="s">
        <v>113</v>
      </c>
      <c r="I122" s="5"/>
      <c r="J122" s="5"/>
      <c r="K122" s="5">
        <v>233</v>
      </c>
      <c r="L122" s="5">
        <v>24</v>
      </c>
      <c r="M122" s="5">
        <v>3</v>
      </c>
      <c r="N122" s="5" t="s">
        <v>6</v>
      </c>
      <c r="O122" s="5">
        <v>2</v>
      </c>
      <c r="P122" s="5">
        <f>ROUND(Source!EV97,O122)</f>
        <v>0</v>
      </c>
      <c r="Q122" s="5"/>
      <c r="R122" s="5"/>
      <c r="S122" s="5"/>
      <c r="T122" s="5"/>
      <c r="U122" s="5"/>
      <c r="V122" s="5"/>
      <c r="W122" s="5">
        <v>0</v>
      </c>
      <c r="X122" s="5">
        <v>1</v>
      </c>
      <c r="Y122" s="5">
        <v>0</v>
      </c>
      <c r="Z122" s="5">
        <v>0</v>
      </c>
      <c r="AA122" s="5">
        <v>1</v>
      </c>
      <c r="AB122" s="5">
        <v>0</v>
      </c>
    </row>
    <row r="123" spans="1:88">
      <c r="A123" s="5">
        <v>50</v>
      </c>
      <c r="B123" s="5">
        <v>0</v>
      </c>
      <c r="C123" s="5">
        <v>0</v>
      </c>
      <c r="D123" s="5">
        <v>1</v>
      </c>
      <c r="E123" s="5">
        <v>210</v>
      </c>
      <c r="F123" s="5">
        <f>ROUND(Source!X97,O123)</f>
        <v>23159.41</v>
      </c>
      <c r="G123" s="5" t="s">
        <v>114</v>
      </c>
      <c r="H123" s="5" t="s">
        <v>115</v>
      </c>
      <c r="I123" s="5"/>
      <c r="J123" s="5"/>
      <c r="K123" s="5">
        <v>210</v>
      </c>
      <c r="L123" s="5">
        <v>25</v>
      </c>
      <c r="M123" s="5">
        <v>3</v>
      </c>
      <c r="N123" s="5" t="s">
        <v>6</v>
      </c>
      <c r="O123" s="5">
        <v>2</v>
      </c>
      <c r="P123" s="5">
        <f>ROUND(Source!DP97,O123)</f>
        <v>606894.15</v>
      </c>
      <c r="Q123" s="5"/>
      <c r="R123" s="5"/>
      <c r="S123" s="5"/>
      <c r="T123" s="5"/>
      <c r="U123" s="5"/>
      <c r="V123" s="5"/>
      <c r="W123" s="5">
        <v>23159.41</v>
      </c>
      <c r="X123" s="5">
        <v>1</v>
      </c>
      <c r="Y123" s="5">
        <v>23159.41</v>
      </c>
      <c r="Z123" s="5">
        <v>606894.15</v>
      </c>
      <c r="AA123" s="5">
        <v>1</v>
      </c>
      <c r="AB123" s="5">
        <v>606894.15</v>
      </c>
    </row>
    <row r="124" spans="1:88">
      <c r="A124" s="5">
        <v>50</v>
      </c>
      <c r="B124" s="5">
        <v>0</v>
      </c>
      <c r="C124" s="5">
        <v>0</v>
      </c>
      <c r="D124" s="5">
        <v>1</v>
      </c>
      <c r="E124" s="5">
        <v>211</v>
      </c>
      <c r="F124" s="5">
        <f>ROUND(Source!Y97,O124)</f>
        <v>12508.58</v>
      </c>
      <c r="G124" s="5" t="s">
        <v>116</v>
      </c>
      <c r="H124" s="5" t="s">
        <v>117</v>
      </c>
      <c r="I124" s="5"/>
      <c r="J124" s="5"/>
      <c r="K124" s="5">
        <v>211</v>
      </c>
      <c r="L124" s="5">
        <v>26</v>
      </c>
      <c r="M124" s="5">
        <v>3</v>
      </c>
      <c r="N124" s="5" t="s">
        <v>6</v>
      </c>
      <c r="O124" s="5">
        <v>2</v>
      </c>
      <c r="P124" s="5">
        <f>ROUND(Source!DQ97,O124)</f>
        <v>277437.32</v>
      </c>
      <c r="Q124" s="5"/>
      <c r="R124" s="5"/>
      <c r="S124" s="5"/>
      <c r="T124" s="5"/>
      <c r="U124" s="5"/>
      <c r="V124" s="5"/>
      <c r="W124" s="5">
        <v>12508.58</v>
      </c>
      <c r="X124" s="5">
        <v>1</v>
      </c>
      <c r="Y124" s="5">
        <v>12508.58</v>
      </c>
      <c r="Z124" s="5">
        <v>277437.32</v>
      </c>
      <c r="AA124" s="5">
        <v>1</v>
      </c>
      <c r="AB124" s="5">
        <v>277437.32</v>
      </c>
    </row>
    <row r="125" spans="1:88">
      <c r="A125" s="5">
        <v>50</v>
      </c>
      <c r="B125" s="5">
        <v>0</v>
      </c>
      <c r="C125" s="5">
        <v>0</v>
      </c>
      <c r="D125" s="5">
        <v>1</v>
      </c>
      <c r="E125" s="5">
        <v>224</v>
      </c>
      <c r="F125" s="5">
        <f>ROUND(Source!AR97,O125)</f>
        <v>130906.24000000001</v>
      </c>
      <c r="G125" s="5" t="s">
        <v>118</v>
      </c>
      <c r="H125" s="5" t="s">
        <v>119</v>
      </c>
      <c r="I125" s="5"/>
      <c r="J125" s="5"/>
      <c r="K125" s="5">
        <v>224</v>
      </c>
      <c r="L125" s="5">
        <v>27</v>
      </c>
      <c r="M125" s="5">
        <v>3</v>
      </c>
      <c r="N125" s="5" t="s">
        <v>6</v>
      </c>
      <c r="O125" s="5">
        <v>2</v>
      </c>
      <c r="P125" s="5">
        <f>ROUND(Source!EJ97,O125)</f>
        <v>2091320.55</v>
      </c>
      <c r="Q125" s="5"/>
      <c r="R125" s="5"/>
      <c r="S125" s="5"/>
      <c r="T125" s="5"/>
      <c r="U125" s="5"/>
      <c r="V125" s="5"/>
      <c r="W125" s="5">
        <v>130906.24000000001</v>
      </c>
      <c r="X125" s="5">
        <v>1</v>
      </c>
      <c r="Y125" s="5">
        <v>130906.24000000001</v>
      </c>
      <c r="Z125" s="5">
        <v>2091320.55</v>
      </c>
      <c r="AA125" s="5">
        <v>1</v>
      </c>
      <c r="AB125" s="5">
        <v>2091320.55</v>
      </c>
    </row>
    <row r="127" spans="1:88">
      <c r="A127" s="1">
        <v>4</v>
      </c>
      <c r="B127" s="1">
        <v>1</v>
      </c>
      <c r="C127" s="1"/>
      <c r="D127" s="1">
        <f>ROW(A252)</f>
        <v>252</v>
      </c>
      <c r="E127" s="1"/>
      <c r="F127" s="1" t="s">
        <v>19</v>
      </c>
      <c r="G127" s="1" t="s">
        <v>16</v>
      </c>
      <c r="H127" s="1" t="s">
        <v>6</v>
      </c>
      <c r="I127" s="1">
        <v>0</v>
      </c>
      <c r="J127" s="1"/>
      <c r="K127" s="1">
        <v>0</v>
      </c>
      <c r="L127" s="1"/>
      <c r="M127" s="1" t="s">
        <v>6</v>
      </c>
      <c r="N127" s="1"/>
      <c r="O127" s="1"/>
      <c r="P127" s="1"/>
      <c r="Q127" s="1"/>
      <c r="R127" s="1"/>
      <c r="S127" s="1">
        <v>0</v>
      </c>
      <c r="T127" s="1">
        <v>0</v>
      </c>
      <c r="U127" s="1" t="s">
        <v>6</v>
      </c>
      <c r="V127" s="1">
        <v>0</v>
      </c>
      <c r="W127" s="1"/>
      <c r="X127" s="1"/>
      <c r="Y127" s="1"/>
      <c r="Z127" s="1"/>
      <c r="AA127" s="1"/>
      <c r="AB127" s="1" t="s">
        <v>6</v>
      </c>
      <c r="AC127" s="1" t="s">
        <v>6</v>
      </c>
      <c r="AD127" s="1" t="s">
        <v>6</v>
      </c>
      <c r="AE127" s="1" t="s">
        <v>6</v>
      </c>
      <c r="AF127" s="1" t="s">
        <v>6</v>
      </c>
      <c r="AG127" s="1" t="s">
        <v>6</v>
      </c>
      <c r="AH127" s="1"/>
      <c r="AI127" s="1"/>
      <c r="AJ127" s="1"/>
      <c r="AK127" s="1"/>
      <c r="AL127" s="1"/>
      <c r="AM127" s="1"/>
      <c r="AN127" s="1"/>
      <c r="AO127" s="1"/>
      <c r="AP127" s="1" t="s">
        <v>6</v>
      </c>
      <c r="AQ127" s="1" t="s">
        <v>6</v>
      </c>
      <c r="AR127" s="1" t="s">
        <v>6</v>
      </c>
      <c r="AS127" s="1"/>
      <c r="AT127" s="1"/>
      <c r="AU127" s="1"/>
      <c r="AV127" s="1"/>
      <c r="AW127" s="1"/>
      <c r="AX127" s="1"/>
      <c r="AY127" s="1"/>
      <c r="AZ127" s="1" t="s">
        <v>6</v>
      </c>
      <c r="BA127" s="1"/>
      <c r="BB127" s="1" t="s">
        <v>6</v>
      </c>
      <c r="BC127" s="1" t="s">
        <v>6</v>
      </c>
      <c r="BD127" s="1" t="s">
        <v>6</v>
      </c>
      <c r="BE127" s="1" t="s">
        <v>6</v>
      </c>
      <c r="BF127" s="1" t="s">
        <v>6</v>
      </c>
      <c r="BG127" s="1" t="s">
        <v>6</v>
      </c>
      <c r="BH127" s="1" t="s">
        <v>6</v>
      </c>
      <c r="BI127" s="1" t="s">
        <v>6</v>
      </c>
      <c r="BJ127" s="1" t="s">
        <v>6</v>
      </c>
      <c r="BK127" s="1" t="s">
        <v>6</v>
      </c>
      <c r="BL127" s="1" t="s">
        <v>6</v>
      </c>
      <c r="BM127" s="1" t="s">
        <v>6</v>
      </c>
      <c r="BN127" s="1" t="s">
        <v>6</v>
      </c>
      <c r="BO127" s="1" t="s">
        <v>6</v>
      </c>
      <c r="BP127" s="1" t="s">
        <v>6</v>
      </c>
      <c r="BQ127" s="1"/>
      <c r="BR127" s="1"/>
      <c r="BS127" s="1"/>
      <c r="BT127" s="1"/>
      <c r="BU127" s="1"/>
      <c r="BV127" s="1"/>
      <c r="BW127" s="1"/>
      <c r="BX127" s="1">
        <v>0</v>
      </c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>
        <v>0</v>
      </c>
    </row>
    <row r="129" spans="1:255">
      <c r="A129" s="3">
        <v>52</v>
      </c>
      <c r="B129" s="3">
        <f t="shared" ref="B129:G129" si="117">B252</f>
        <v>1</v>
      </c>
      <c r="C129" s="3">
        <f t="shared" si="117"/>
        <v>4</v>
      </c>
      <c r="D129" s="3">
        <f t="shared" si="117"/>
        <v>127</v>
      </c>
      <c r="E129" s="3">
        <f t="shared" si="117"/>
        <v>0</v>
      </c>
      <c r="F129" s="3" t="str">
        <f t="shared" si="117"/>
        <v>Новый раздел</v>
      </c>
      <c r="G129" s="3" t="str">
        <f t="shared" si="117"/>
        <v>Благоустройство</v>
      </c>
      <c r="H129" s="3"/>
      <c r="I129" s="3"/>
      <c r="J129" s="3"/>
      <c r="K129" s="3"/>
      <c r="L129" s="3"/>
      <c r="M129" s="3"/>
      <c r="N129" s="3"/>
      <c r="O129" s="3">
        <f t="shared" ref="O129:AT129" si="118">O252</f>
        <v>807864.34</v>
      </c>
      <c r="P129" s="3">
        <f t="shared" si="118"/>
        <v>665555.86</v>
      </c>
      <c r="Q129" s="3">
        <f t="shared" si="118"/>
        <v>123568.53</v>
      </c>
      <c r="R129" s="3">
        <f t="shared" si="118"/>
        <v>11235.61</v>
      </c>
      <c r="S129" s="3">
        <f t="shared" si="118"/>
        <v>18739.95</v>
      </c>
      <c r="T129" s="3">
        <f t="shared" si="118"/>
        <v>0</v>
      </c>
      <c r="U129" s="3">
        <f t="shared" si="118"/>
        <v>1622.9368965599997</v>
      </c>
      <c r="V129" s="3">
        <f t="shared" si="118"/>
        <v>0</v>
      </c>
      <c r="W129" s="3">
        <f t="shared" si="118"/>
        <v>0</v>
      </c>
      <c r="X129" s="3">
        <f t="shared" si="118"/>
        <v>26185.599999999999</v>
      </c>
      <c r="Y129" s="3">
        <f t="shared" si="118"/>
        <v>17420.54</v>
      </c>
      <c r="Z129" s="3">
        <f t="shared" si="118"/>
        <v>0</v>
      </c>
      <c r="AA129" s="3">
        <f t="shared" si="118"/>
        <v>0</v>
      </c>
      <c r="AB129" s="3">
        <f t="shared" si="118"/>
        <v>0</v>
      </c>
      <c r="AC129" s="3">
        <f t="shared" si="118"/>
        <v>0</v>
      </c>
      <c r="AD129" s="3">
        <f t="shared" si="118"/>
        <v>0</v>
      </c>
      <c r="AE129" s="3">
        <f t="shared" si="118"/>
        <v>0</v>
      </c>
      <c r="AF129" s="3">
        <f t="shared" si="118"/>
        <v>0</v>
      </c>
      <c r="AG129" s="3">
        <f t="shared" si="118"/>
        <v>0</v>
      </c>
      <c r="AH129" s="3">
        <f t="shared" si="118"/>
        <v>0</v>
      </c>
      <c r="AI129" s="3">
        <f t="shared" si="118"/>
        <v>0</v>
      </c>
      <c r="AJ129" s="3">
        <f t="shared" si="118"/>
        <v>0</v>
      </c>
      <c r="AK129" s="3">
        <f t="shared" si="118"/>
        <v>0</v>
      </c>
      <c r="AL129" s="3">
        <f t="shared" si="118"/>
        <v>0</v>
      </c>
      <c r="AM129" s="3">
        <f t="shared" si="118"/>
        <v>0</v>
      </c>
      <c r="AN129" s="3">
        <f t="shared" si="118"/>
        <v>0</v>
      </c>
      <c r="AO129" s="3">
        <f t="shared" si="118"/>
        <v>0</v>
      </c>
      <c r="AP129" s="3">
        <f t="shared" si="118"/>
        <v>0</v>
      </c>
      <c r="AQ129" s="3">
        <f t="shared" si="118"/>
        <v>0</v>
      </c>
      <c r="AR129" s="3">
        <f t="shared" si="118"/>
        <v>871132.83</v>
      </c>
      <c r="AS129" s="3">
        <f t="shared" si="118"/>
        <v>871132.83</v>
      </c>
      <c r="AT129" s="3">
        <f t="shared" si="118"/>
        <v>0</v>
      </c>
      <c r="AU129" s="3">
        <f t="shared" ref="AU129:BZ129" si="119">AU252</f>
        <v>0</v>
      </c>
      <c r="AV129" s="3">
        <f t="shared" si="119"/>
        <v>665555.86</v>
      </c>
      <c r="AW129" s="3">
        <f t="shared" si="119"/>
        <v>665555.86</v>
      </c>
      <c r="AX129" s="3">
        <f t="shared" si="119"/>
        <v>0</v>
      </c>
      <c r="AY129" s="3">
        <f t="shared" si="119"/>
        <v>665555.86</v>
      </c>
      <c r="AZ129" s="3">
        <f t="shared" si="119"/>
        <v>0</v>
      </c>
      <c r="BA129" s="3">
        <f t="shared" si="119"/>
        <v>0</v>
      </c>
      <c r="BB129" s="3">
        <f t="shared" si="119"/>
        <v>0</v>
      </c>
      <c r="BC129" s="3">
        <f t="shared" si="119"/>
        <v>0</v>
      </c>
      <c r="BD129" s="3">
        <f t="shared" si="119"/>
        <v>0</v>
      </c>
      <c r="BE129" s="3">
        <f t="shared" si="119"/>
        <v>0</v>
      </c>
      <c r="BF129" s="3">
        <f t="shared" si="119"/>
        <v>0</v>
      </c>
      <c r="BG129" s="3">
        <f t="shared" si="119"/>
        <v>0</v>
      </c>
      <c r="BH129" s="3">
        <f t="shared" si="119"/>
        <v>0</v>
      </c>
      <c r="BI129" s="3">
        <f t="shared" si="119"/>
        <v>0</v>
      </c>
      <c r="BJ129" s="3">
        <f t="shared" si="119"/>
        <v>0</v>
      </c>
      <c r="BK129" s="3">
        <f t="shared" si="119"/>
        <v>0</v>
      </c>
      <c r="BL129" s="3">
        <f t="shared" si="119"/>
        <v>0</v>
      </c>
      <c r="BM129" s="3">
        <f t="shared" si="119"/>
        <v>0</v>
      </c>
      <c r="BN129" s="3">
        <f t="shared" si="119"/>
        <v>0</v>
      </c>
      <c r="BO129" s="3">
        <f t="shared" si="119"/>
        <v>0</v>
      </c>
      <c r="BP129" s="3">
        <f t="shared" si="119"/>
        <v>0</v>
      </c>
      <c r="BQ129" s="3">
        <f t="shared" si="119"/>
        <v>0</v>
      </c>
      <c r="BR129" s="3">
        <f t="shared" si="119"/>
        <v>0</v>
      </c>
      <c r="BS129" s="3">
        <f t="shared" si="119"/>
        <v>0</v>
      </c>
      <c r="BT129" s="3">
        <f t="shared" si="119"/>
        <v>0</v>
      </c>
      <c r="BU129" s="3">
        <f t="shared" si="119"/>
        <v>0</v>
      </c>
      <c r="BV129" s="3">
        <f t="shared" si="119"/>
        <v>0</v>
      </c>
      <c r="BW129" s="3">
        <f t="shared" si="119"/>
        <v>0</v>
      </c>
      <c r="BX129" s="3">
        <f t="shared" si="119"/>
        <v>0</v>
      </c>
      <c r="BY129" s="3">
        <f t="shared" si="119"/>
        <v>0</v>
      </c>
      <c r="BZ129" s="3">
        <f t="shared" si="119"/>
        <v>0</v>
      </c>
      <c r="CA129" s="3">
        <f t="shared" ref="CA129:DF129" si="120">CA252</f>
        <v>0</v>
      </c>
      <c r="CB129" s="3">
        <f t="shared" si="120"/>
        <v>0</v>
      </c>
      <c r="CC129" s="3">
        <f t="shared" si="120"/>
        <v>0</v>
      </c>
      <c r="CD129" s="3">
        <f t="shared" si="120"/>
        <v>0</v>
      </c>
      <c r="CE129" s="3">
        <f t="shared" si="120"/>
        <v>0</v>
      </c>
      <c r="CF129" s="3">
        <f t="shared" si="120"/>
        <v>0</v>
      </c>
      <c r="CG129" s="3">
        <f t="shared" si="120"/>
        <v>0</v>
      </c>
      <c r="CH129" s="3">
        <f t="shared" si="120"/>
        <v>0</v>
      </c>
      <c r="CI129" s="3">
        <f t="shared" si="120"/>
        <v>0</v>
      </c>
      <c r="CJ129" s="3">
        <f t="shared" si="120"/>
        <v>0</v>
      </c>
      <c r="CK129" s="3">
        <f t="shared" si="120"/>
        <v>0</v>
      </c>
      <c r="CL129" s="3">
        <f t="shared" si="120"/>
        <v>0</v>
      </c>
      <c r="CM129" s="3">
        <f t="shared" si="120"/>
        <v>0</v>
      </c>
      <c r="CN129" s="3">
        <f t="shared" si="120"/>
        <v>0</v>
      </c>
      <c r="CO129" s="3">
        <f t="shared" si="120"/>
        <v>0</v>
      </c>
      <c r="CP129" s="3">
        <f t="shared" si="120"/>
        <v>0</v>
      </c>
      <c r="CQ129" s="3">
        <f t="shared" si="120"/>
        <v>0</v>
      </c>
      <c r="CR129" s="3">
        <f t="shared" si="120"/>
        <v>0</v>
      </c>
      <c r="CS129" s="3">
        <f t="shared" si="120"/>
        <v>0</v>
      </c>
      <c r="CT129" s="3">
        <f t="shared" si="120"/>
        <v>0</v>
      </c>
      <c r="CU129" s="3">
        <f t="shared" si="120"/>
        <v>0</v>
      </c>
      <c r="CV129" s="3">
        <f t="shared" si="120"/>
        <v>0</v>
      </c>
      <c r="CW129" s="3">
        <f t="shared" si="120"/>
        <v>0</v>
      </c>
      <c r="CX129" s="3">
        <f t="shared" si="120"/>
        <v>0</v>
      </c>
      <c r="CY129" s="3">
        <f t="shared" si="120"/>
        <v>0</v>
      </c>
      <c r="CZ129" s="3">
        <f t="shared" si="120"/>
        <v>0</v>
      </c>
      <c r="DA129" s="3">
        <f t="shared" si="120"/>
        <v>0</v>
      </c>
      <c r="DB129" s="3">
        <f t="shared" si="120"/>
        <v>0</v>
      </c>
      <c r="DC129" s="3">
        <f t="shared" si="120"/>
        <v>0</v>
      </c>
      <c r="DD129" s="3">
        <f t="shared" si="120"/>
        <v>0</v>
      </c>
      <c r="DE129" s="3">
        <f t="shared" si="120"/>
        <v>0</v>
      </c>
      <c r="DF129" s="3">
        <f t="shared" si="120"/>
        <v>0</v>
      </c>
      <c r="DG129" s="4">
        <f t="shared" ref="DG129:EL129" si="121">DG252</f>
        <v>11010118.869999999</v>
      </c>
      <c r="DH129" s="4">
        <f t="shared" si="121"/>
        <v>8463600.8900000006</v>
      </c>
      <c r="DI129" s="4">
        <f t="shared" si="121"/>
        <v>1671924.54</v>
      </c>
      <c r="DJ129" s="4">
        <f t="shared" si="121"/>
        <v>524365.93999999994</v>
      </c>
      <c r="DK129" s="4">
        <f t="shared" si="121"/>
        <v>874593.44</v>
      </c>
      <c r="DL129" s="4">
        <f t="shared" si="121"/>
        <v>0</v>
      </c>
      <c r="DM129" s="4">
        <f t="shared" si="121"/>
        <v>1622.9368965599997</v>
      </c>
      <c r="DN129" s="4">
        <f t="shared" si="121"/>
        <v>0</v>
      </c>
      <c r="DO129" s="4">
        <f t="shared" si="121"/>
        <v>0</v>
      </c>
      <c r="DP129" s="4">
        <f t="shared" si="121"/>
        <v>1024421.14</v>
      </c>
      <c r="DQ129" s="4">
        <f t="shared" si="121"/>
        <v>446460.03</v>
      </c>
      <c r="DR129" s="4">
        <f t="shared" si="121"/>
        <v>0</v>
      </c>
      <c r="DS129" s="4">
        <f t="shared" si="121"/>
        <v>0</v>
      </c>
      <c r="DT129" s="4">
        <f t="shared" si="121"/>
        <v>0</v>
      </c>
      <c r="DU129" s="4">
        <f t="shared" si="121"/>
        <v>0</v>
      </c>
      <c r="DV129" s="4">
        <f t="shared" si="121"/>
        <v>0</v>
      </c>
      <c r="DW129" s="4">
        <f t="shared" si="121"/>
        <v>0</v>
      </c>
      <c r="DX129" s="4">
        <f t="shared" si="121"/>
        <v>0</v>
      </c>
      <c r="DY129" s="4">
        <f t="shared" si="121"/>
        <v>0</v>
      </c>
      <c r="DZ129" s="4">
        <f t="shared" si="121"/>
        <v>0</v>
      </c>
      <c r="EA129" s="4">
        <f t="shared" si="121"/>
        <v>0</v>
      </c>
      <c r="EB129" s="4">
        <f t="shared" si="121"/>
        <v>0</v>
      </c>
      <c r="EC129" s="4">
        <f t="shared" si="121"/>
        <v>0</v>
      </c>
      <c r="ED129" s="4">
        <f t="shared" si="121"/>
        <v>0</v>
      </c>
      <c r="EE129" s="4">
        <f t="shared" si="121"/>
        <v>0</v>
      </c>
      <c r="EF129" s="4">
        <f t="shared" si="121"/>
        <v>0</v>
      </c>
      <c r="EG129" s="4">
        <f t="shared" si="121"/>
        <v>0</v>
      </c>
      <c r="EH129" s="4">
        <f t="shared" si="121"/>
        <v>0</v>
      </c>
      <c r="EI129" s="4">
        <f t="shared" si="121"/>
        <v>0</v>
      </c>
      <c r="EJ129" s="4">
        <f t="shared" si="121"/>
        <v>13319985.550000001</v>
      </c>
      <c r="EK129" s="4">
        <f t="shared" si="121"/>
        <v>13319985.550000001</v>
      </c>
      <c r="EL129" s="4">
        <f t="shared" si="121"/>
        <v>0</v>
      </c>
      <c r="EM129" s="4">
        <f t="shared" ref="EM129:FR129" si="122">EM252</f>
        <v>0</v>
      </c>
      <c r="EN129" s="4">
        <f t="shared" si="122"/>
        <v>8463600.8900000006</v>
      </c>
      <c r="EO129" s="4">
        <f t="shared" si="122"/>
        <v>8463600.8900000006</v>
      </c>
      <c r="EP129" s="4">
        <f t="shared" si="122"/>
        <v>0</v>
      </c>
      <c r="EQ129" s="4">
        <f t="shared" si="122"/>
        <v>8463600.8900000006</v>
      </c>
      <c r="ER129" s="4">
        <f t="shared" si="122"/>
        <v>0</v>
      </c>
      <c r="ES129" s="4">
        <f t="shared" si="122"/>
        <v>0</v>
      </c>
      <c r="ET129" s="4">
        <f t="shared" si="122"/>
        <v>0</v>
      </c>
      <c r="EU129" s="4">
        <f t="shared" si="122"/>
        <v>0</v>
      </c>
      <c r="EV129" s="4">
        <f t="shared" si="122"/>
        <v>0</v>
      </c>
      <c r="EW129" s="4">
        <f t="shared" si="122"/>
        <v>0</v>
      </c>
      <c r="EX129" s="4">
        <f t="shared" si="122"/>
        <v>0</v>
      </c>
      <c r="EY129" s="4">
        <f t="shared" si="122"/>
        <v>0</v>
      </c>
      <c r="EZ129" s="4">
        <f t="shared" si="122"/>
        <v>0</v>
      </c>
      <c r="FA129" s="4">
        <f t="shared" si="122"/>
        <v>0</v>
      </c>
      <c r="FB129" s="4">
        <f t="shared" si="122"/>
        <v>0</v>
      </c>
      <c r="FC129" s="4">
        <f t="shared" si="122"/>
        <v>0</v>
      </c>
      <c r="FD129" s="4">
        <f t="shared" si="122"/>
        <v>0</v>
      </c>
      <c r="FE129" s="4">
        <f t="shared" si="122"/>
        <v>0</v>
      </c>
      <c r="FF129" s="4">
        <f t="shared" si="122"/>
        <v>0</v>
      </c>
      <c r="FG129" s="4">
        <f t="shared" si="122"/>
        <v>0</v>
      </c>
      <c r="FH129" s="4">
        <f t="shared" si="122"/>
        <v>0</v>
      </c>
      <c r="FI129" s="4">
        <f t="shared" si="122"/>
        <v>0</v>
      </c>
      <c r="FJ129" s="4">
        <f t="shared" si="122"/>
        <v>0</v>
      </c>
      <c r="FK129" s="4">
        <f t="shared" si="122"/>
        <v>0</v>
      </c>
      <c r="FL129" s="4">
        <f t="shared" si="122"/>
        <v>0</v>
      </c>
      <c r="FM129" s="4">
        <f t="shared" si="122"/>
        <v>0</v>
      </c>
      <c r="FN129" s="4">
        <f t="shared" si="122"/>
        <v>0</v>
      </c>
      <c r="FO129" s="4">
        <f t="shared" si="122"/>
        <v>0</v>
      </c>
      <c r="FP129" s="4">
        <f t="shared" si="122"/>
        <v>0</v>
      </c>
      <c r="FQ129" s="4">
        <f t="shared" si="122"/>
        <v>0</v>
      </c>
      <c r="FR129" s="4">
        <f t="shared" si="122"/>
        <v>0</v>
      </c>
      <c r="FS129" s="4">
        <f t="shared" ref="FS129:GX129" si="123">FS252</f>
        <v>0</v>
      </c>
      <c r="FT129" s="4">
        <f t="shared" si="123"/>
        <v>0</v>
      </c>
      <c r="FU129" s="4">
        <f t="shared" si="123"/>
        <v>0</v>
      </c>
      <c r="FV129" s="4">
        <f t="shared" si="123"/>
        <v>0</v>
      </c>
      <c r="FW129" s="4">
        <f t="shared" si="123"/>
        <v>0</v>
      </c>
      <c r="FX129" s="4">
        <f t="shared" si="123"/>
        <v>0</v>
      </c>
      <c r="FY129" s="4">
        <f t="shared" si="123"/>
        <v>0</v>
      </c>
      <c r="FZ129" s="4">
        <f t="shared" si="123"/>
        <v>0</v>
      </c>
      <c r="GA129" s="4">
        <f t="shared" si="123"/>
        <v>0</v>
      </c>
      <c r="GB129" s="4">
        <f t="shared" si="123"/>
        <v>0</v>
      </c>
      <c r="GC129" s="4">
        <f t="shared" si="123"/>
        <v>0</v>
      </c>
      <c r="GD129" s="4">
        <f t="shared" si="123"/>
        <v>0</v>
      </c>
      <c r="GE129" s="4">
        <f t="shared" si="123"/>
        <v>0</v>
      </c>
      <c r="GF129" s="4">
        <f t="shared" si="123"/>
        <v>0</v>
      </c>
      <c r="GG129" s="4">
        <f t="shared" si="123"/>
        <v>0</v>
      </c>
      <c r="GH129" s="4">
        <f t="shared" si="123"/>
        <v>0</v>
      </c>
      <c r="GI129" s="4">
        <f t="shared" si="123"/>
        <v>0</v>
      </c>
      <c r="GJ129" s="4">
        <f t="shared" si="123"/>
        <v>0</v>
      </c>
      <c r="GK129" s="4">
        <f t="shared" si="123"/>
        <v>0</v>
      </c>
      <c r="GL129" s="4">
        <f t="shared" si="123"/>
        <v>0</v>
      </c>
      <c r="GM129" s="4">
        <f t="shared" si="123"/>
        <v>0</v>
      </c>
      <c r="GN129" s="4">
        <f t="shared" si="123"/>
        <v>0</v>
      </c>
      <c r="GO129" s="4">
        <f t="shared" si="123"/>
        <v>0</v>
      </c>
      <c r="GP129" s="4">
        <f t="shared" si="123"/>
        <v>0</v>
      </c>
      <c r="GQ129" s="4">
        <f t="shared" si="123"/>
        <v>0</v>
      </c>
      <c r="GR129" s="4">
        <f t="shared" si="123"/>
        <v>0</v>
      </c>
      <c r="GS129" s="4">
        <f t="shared" si="123"/>
        <v>0</v>
      </c>
      <c r="GT129" s="4">
        <f t="shared" si="123"/>
        <v>0</v>
      </c>
      <c r="GU129" s="4">
        <f t="shared" si="123"/>
        <v>0</v>
      </c>
      <c r="GV129" s="4">
        <f t="shared" si="123"/>
        <v>0</v>
      </c>
      <c r="GW129" s="4">
        <f t="shared" si="123"/>
        <v>0</v>
      </c>
      <c r="GX129" s="4">
        <f t="shared" si="123"/>
        <v>0</v>
      </c>
    </row>
    <row r="131" spans="1:255">
      <c r="A131" s="1">
        <v>5</v>
      </c>
      <c r="B131" s="1">
        <v>1</v>
      </c>
      <c r="C131" s="1"/>
      <c r="D131" s="1">
        <f>ROW(A222)</f>
        <v>222</v>
      </c>
      <c r="E131" s="1"/>
      <c r="F131" s="1" t="s">
        <v>21</v>
      </c>
      <c r="G131" s="1" t="s">
        <v>120</v>
      </c>
      <c r="H131" s="1" t="s">
        <v>6</v>
      </c>
      <c r="I131" s="1">
        <v>0</v>
      </c>
      <c r="J131" s="1"/>
      <c r="K131" s="1">
        <v>-1</v>
      </c>
      <c r="L131" s="1"/>
      <c r="M131" s="1" t="s">
        <v>6</v>
      </c>
      <c r="N131" s="1"/>
      <c r="O131" s="1"/>
      <c r="P131" s="1"/>
      <c r="Q131" s="1"/>
      <c r="R131" s="1"/>
      <c r="S131" s="1">
        <v>0</v>
      </c>
      <c r="T131" s="1">
        <v>0</v>
      </c>
      <c r="U131" s="1" t="s">
        <v>6</v>
      </c>
      <c r="V131" s="1">
        <v>0</v>
      </c>
      <c r="W131" s="1"/>
      <c r="X131" s="1"/>
      <c r="Y131" s="1"/>
      <c r="Z131" s="1"/>
      <c r="AA131" s="1"/>
      <c r="AB131" s="1" t="s">
        <v>6</v>
      </c>
      <c r="AC131" s="1" t="s">
        <v>6</v>
      </c>
      <c r="AD131" s="1" t="s">
        <v>6</v>
      </c>
      <c r="AE131" s="1" t="s">
        <v>6</v>
      </c>
      <c r="AF131" s="1" t="s">
        <v>6</v>
      </c>
      <c r="AG131" s="1" t="s">
        <v>6</v>
      </c>
      <c r="AH131" s="1"/>
      <c r="AI131" s="1"/>
      <c r="AJ131" s="1"/>
      <c r="AK131" s="1"/>
      <c r="AL131" s="1"/>
      <c r="AM131" s="1"/>
      <c r="AN131" s="1"/>
      <c r="AO131" s="1"/>
      <c r="AP131" s="1" t="s">
        <v>6</v>
      </c>
      <c r="AQ131" s="1" t="s">
        <v>6</v>
      </c>
      <c r="AR131" s="1" t="s">
        <v>6</v>
      </c>
      <c r="AS131" s="1"/>
      <c r="AT131" s="1"/>
      <c r="AU131" s="1"/>
      <c r="AV131" s="1"/>
      <c r="AW131" s="1"/>
      <c r="AX131" s="1"/>
      <c r="AY131" s="1"/>
      <c r="AZ131" s="1" t="s">
        <v>6</v>
      </c>
      <c r="BA131" s="1"/>
      <c r="BB131" s="1" t="s">
        <v>6</v>
      </c>
      <c r="BC131" s="1" t="s">
        <v>6</v>
      </c>
      <c r="BD131" s="1" t="s">
        <v>6</v>
      </c>
      <c r="BE131" s="1" t="s">
        <v>6</v>
      </c>
      <c r="BF131" s="1" t="s">
        <v>6</v>
      </c>
      <c r="BG131" s="1" t="s">
        <v>6</v>
      </c>
      <c r="BH131" s="1" t="s">
        <v>6</v>
      </c>
      <c r="BI131" s="1" t="s">
        <v>6</v>
      </c>
      <c r="BJ131" s="1" t="s">
        <v>6</v>
      </c>
      <c r="BK131" s="1" t="s">
        <v>6</v>
      </c>
      <c r="BL131" s="1" t="s">
        <v>6</v>
      </c>
      <c r="BM131" s="1" t="s">
        <v>6</v>
      </c>
      <c r="BN131" s="1" t="s">
        <v>6</v>
      </c>
      <c r="BO131" s="1" t="s">
        <v>6</v>
      </c>
      <c r="BP131" s="1" t="s">
        <v>6</v>
      </c>
      <c r="BQ131" s="1"/>
      <c r="BR131" s="1"/>
      <c r="BS131" s="1"/>
      <c r="BT131" s="1"/>
      <c r="BU131" s="1"/>
      <c r="BV131" s="1"/>
      <c r="BW131" s="1"/>
      <c r="BX131" s="1">
        <v>0</v>
      </c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>
        <v>0</v>
      </c>
    </row>
    <row r="133" spans="1:255">
      <c r="A133" s="3">
        <v>52</v>
      </c>
      <c r="B133" s="3">
        <f t="shared" ref="B133:G133" si="124">B222</f>
        <v>1</v>
      </c>
      <c r="C133" s="3">
        <f t="shared" si="124"/>
        <v>5</v>
      </c>
      <c r="D133" s="3">
        <f t="shared" si="124"/>
        <v>131</v>
      </c>
      <c r="E133" s="3">
        <f t="shared" si="124"/>
        <v>0</v>
      </c>
      <c r="F133" s="3" t="str">
        <f t="shared" si="124"/>
        <v>Новый подраздел</v>
      </c>
      <c r="G133" s="3" t="str">
        <f t="shared" si="124"/>
        <v>Разборка и восстановление  покрытий  направлением  СП 60401 - ТП 28274</v>
      </c>
      <c r="H133" s="3"/>
      <c r="I133" s="3"/>
      <c r="J133" s="3"/>
      <c r="K133" s="3"/>
      <c r="L133" s="3"/>
      <c r="M133" s="3"/>
      <c r="N133" s="3"/>
      <c r="O133" s="3">
        <f t="shared" ref="O133:AT133" si="125">O222</f>
        <v>807864.34</v>
      </c>
      <c r="P133" s="3">
        <f t="shared" si="125"/>
        <v>665555.86</v>
      </c>
      <c r="Q133" s="3">
        <f t="shared" si="125"/>
        <v>123568.53</v>
      </c>
      <c r="R133" s="3">
        <f t="shared" si="125"/>
        <v>11235.61</v>
      </c>
      <c r="S133" s="3">
        <f t="shared" si="125"/>
        <v>18739.95</v>
      </c>
      <c r="T133" s="3">
        <f t="shared" si="125"/>
        <v>0</v>
      </c>
      <c r="U133" s="3">
        <f t="shared" si="125"/>
        <v>1622.9368965599997</v>
      </c>
      <c r="V133" s="3">
        <f t="shared" si="125"/>
        <v>0</v>
      </c>
      <c r="W133" s="3">
        <f t="shared" si="125"/>
        <v>0</v>
      </c>
      <c r="X133" s="3">
        <f t="shared" si="125"/>
        <v>26185.599999999999</v>
      </c>
      <c r="Y133" s="3">
        <f t="shared" si="125"/>
        <v>17420.54</v>
      </c>
      <c r="Z133" s="3">
        <f t="shared" si="125"/>
        <v>0</v>
      </c>
      <c r="AA133" s="3">
        <f t="shared" si="125"/>
        <v>0</v>
      </c>
      <c r="AB133" s="3">
        <f t="shared" si="125"/>
        <v>807864.34</v>
      </c>
      <c r="AC133" s="3">
        <f t="shared" si="125"/>
        <v>665555.86</v>
      </c>
      <c r="AD133" s="3">
        <f t="shared" si="125"/>
        <v>123568.53</v>
      </c>
      <c r="AE133" s="3">
        <f t="shared" si="125"/>
        <v>11235.61</v>
      </c>
      <c r="AF133" s="3">
        <f t="shared" si="125"/>
        <v>18739.95</v>
      </c>
      <c r="AG133" s="3">
        <f t="shared" si="125"/>
        <v>0</v>
      </c>
      <c r="AH133" s="3">
        <f t="shared" si="125"/>
        <v>1622.9368965599997</v>
      </c>
      <c r="AI133" s="3">
        <f t="shared" si="125"/>
        <v>0</v>
      </c>
      <c r="AJ133" s="3">
        <f t="shared" si="125"/>
        <v>0</v>
      </c>
      <c r="AK133" s="3">
        <f t="shared" si="125"/>
        <v>26185.599999999999</v>
      </c>
      <c r="AL133" s="3">
        <f t="shared" si="125"/>
        <v>17420.54</v>
      </c>
      <c r="AM133" s="3">
        <f t="shared" si="125"/>
        <v>0</v>
      </c>
      <c r="AN133" s="3">
        <f t="shared" si="125"/>
        <v>0</v>
      </c>
      <c r="AO133" s="3">
        <f t="shared" si="125"/>
        <v>0</v>
      </c>
      <c r="AP133" s="3">
        <f t="shared" si="125"/>
        <v>0</v>
      </c>
      <c r="AQ133" s="3">
        <f t="shared" si="125"/>
        <v>0</v>
      </c>
      <c r="AR133" s="3">
        <f t="shared" si="125"/>
        <v>871132.83</v>
      </c>
      <c r="AS133" s="3">
        <f t="shared" si="125"/>
        <v>871132.83</v>
      </c>
      <c r="AT133" s="3">
        <f t="shared" si="125"/>
        <v>0</v>
      </c>
      <c r="AU133" s="3">
        <f t="shared" ref="AU133:BZ133" si="126">AU222</f>
        <v>0</v>
      </c>
      <c r="AV133" s="3">
        <f t="shared" si="126"/>
        <v>665555.86</v>
      </c>
      <c r="AW133" s="3">
        <f t="shared" si="126"/>
        <v>665555.86</v>
      </c>
      <c r="AX133" s="3">
        <f t="shared" si="126"/>
        <v>0</v>
      </c>
      <c r="AY133" s="3">
        <f t="shared" si="126"/>
        <v>665555.86</v>
      </c>
      <c r="AZ133" s="3">
        <f t="shared" si="126"/>
        <v>0</v>
      </c>
      <c r="BA133" s="3">
        <f t="shared" si="126"/>
        <v>0</v>
      </c>
      <c r="BB133" s="3">
        <f t="shared" si="126"/>
        <v>0</v>
      </c>
      <c r="BC133" s="3">
        <f t="shared" si="126"/>
        <v>0</v>
      </c>
      <c r="BD133" s="3">
        <f t="shared" si="126"/>
        <v>0</v>
      </c>
      <c r="BE133" s="3">
        <f t="shared" si="126"/>
        <v>0</v>
      </c>
      <c r="BF133" s="3">
        <f t="shared" si="126"/>
        <v>0</v>
      </c>
      <c r="BG133" s="3">
        <f t="shared" si="126"/>
        <v>0</v>
      </c>
      <c r="BH133" s="3">
        <f t="shared" si="126"/>
        <v>0</v>
      </c>
      <c r="BI133" s="3">
        <f t="shared" si="126"/>
        <v>0</v>
      </c>
      <c r="BJ133" s="3">
        <f t="shared" si="126"/>
        <v>0</v>
      </c>
      <c r="BK133" s="3">
        <f t="shared" si="126"/>
        <v>0</v>
      </c>
      <c r="BL133" s="3">
        <f t="shared" si="126"/>
        <v>0</v>
      </c>
      <c r="BM133" s="3">
        <f t="shared" si="126"/>
        <v>0</v>
      </c>
      <c r="BN133" s="3">
        <f t="shared" si="126"/>
        <v>0</v>
      </c>
      <c r="BO133" s="3">
        <f t="shared" si="126"/>
        <v>0</v>
      </c>
      <c r="BP133" s="3">
        <f t="shared" si="126"/>
        <v>0</v>
      </c>
      <c r="BQ133" s="3">
        <f t="shared" si="126"/>
        <v>0</v>
      </c>
      <c r="BR133" s="3">
        <f t="shared" si="126"/>
        <v>0</v>
      </c>
      <c r="BS133" s="3">
        <f t="shared" si="126"/>
        <v>0</v>
      </c>
      <c r="BT133" s="3">
        <f t="shared" si="126"/>
        <v>0</v>
      </c>
      <c r="BU133" s="3">
        <f t="shared" si="126"/>
        <v>0</v>
      </c>
      <c r="BV133" s="3">
        <f t="shared" si="126"/>
        <v>0</v>
      </c>
      <c r="BW133" s="3">
        <f t="shared" si="126"/>
        <v>0</v>
      </c>
      <c r="BX133" s="3">
        <f t="shared" si="126"/>
        <v>0</v>
      </c>
      <c r="BY133" s="3">
        <f t="shared" si="126"/>
        <v>0</v>
      </c>
      <c r="BZ133" s="3">
        <f t="shared" si="126"/>
        <v>0</v>
      </c>
      <c r="CA133" s="3">
        <f t="shared" ref="CA133:DF133" si="127">CA222</f>
        <v>871132.83</v>
      </c>
      <c r="CB133" s="3">
        <f t="shared" si="127"/>
        <v>871132.83</v>
      </c>
      <c r="CC133" s="3">
        <f t="shared" si="127"/>
        <v>0</v>
      </c>
      <c r="CD133" s="3">
        <f t="shared" si="127"/>
        <v>0</v>
      </c>
      <c r="CE133" s="3">
        <f t="shared" si="127"/>
        <v>665555.86</v>
      </c>
      <c r="CF133" s="3">
        <f t="shared" si="127"/>
        <v>665555.86</v>
      </c>
      <c r="CG133" s="3">
        <f t="shared" si="127"/>
        <v>0</v>
      </c>
      <c r="CH133" s="3">
        <f t="shared" si="127"/>
        <v>665555.86</v>
      </c>
      <c r="CI133" s="3">
        <f t="shared" si="127"/>
        <v>0</v>
      </c>
      <c r="CJ133" s="3">
        <f t="shared" si="127"/>
        <v>0</v>
      </c>
      <c r="CK133" s="3">
        <f t="shared" si="127"/>
        <v>0</v>
      </c>
      <c r="CL133" s="3">
        <f t="shared" si="127"/>
        <v>0</v>
      </c>
      <c r="CM133" s="3">
        <f t="shared" si="127"/>
        <v>0</v>
      </c>
      <c r="CN133" s="3">
        <f t="shared" si="127"/>
        <v>0</v>
      </c>
      <c r="CO133" s="3">
        <f t="shared" si="127"/>
        <v>0</v>
      </c>
      <c r="CP133" s="3">
        <f t="shared" si="127"/>
        <v>0</v>
      </c>
      <c r="CQ133" s="3">
        <f t="shared" si="127"/>
        <v>0</v>
      </c>
      <c r="CR133" s="3">
        <f t="shared" si="127"/>
        <v>0</v>
      </c>
      <c r="CS133" s="3">
        <f t="shared" si="127"/>
        <v>0</v>
      </c>
      <c r="CT133" s="3">
        <f t="shared" si="127"/>
        <v>0</v>
      </c>
      <c r="CU133" s="3">
        <f t="shared" si="127"/>
        <v>0</v>
      </c>
      <c r="CV133" s="3">
        <f t="shared" si="127"/>
        <v>0</v>
      </c>
      <c r="CW133" s="3">
        <f t="shared" si="127"/>
        <v>0</v>
      </c>
      <c r="CX133" s="3">
        <f t="shared" si="127"/>
        <v>0</v>
      </c>
      <c r="CY133" s="3">
        <f t="shared" si="127"/>
        <v>0</v>
      </c>
      <c r="CZ133" s="3">
        <f t="shared" si="127"/>
        <v>0</v>
      </c>
      <c r="DA133" s="3">
        <f t="shared" si="127"/>
        <v>0</v>
      </c>
      <c r="DB133" s="3">
        <f t="shared" si="127"/>
        <v>0</v>
      </c>
      <c r="DC133" s="3">
        <f t="shared" si="127"/>
        <v>0</v>
      </c>
      <c r="DD133" s="3">
        <f t="shared" si="127"/>
        <v>0</v>
      </c>
      <c r="DE133" s="3">
        <f t="shared" si="127"/>
        <v>0</v>
      </c>
      <c r="DF133" s="3">
        <f t="shared" si="127"/>
        <v>0</v>
      </c>
      <c r="DG133" s="4">
        <f t="shared" ref="DG133:EL133" si="128">DG222</f>
        <v>11010118.869999999</v>
      </c>
      <c r="DH133" s="4">
        <f t="shared" si="128"/>
        <v>8463600.8900000006</v>
      </c>
      <c r="DI133" s="4">
        <f t="shared" si="128"/>
        <v>1671924.54</v>
      </c>
      <c r="DJ133" s="4">
        <f t="shared" si="128"/>
        <v>524365.93999999994</v>
      </c>
      <c r="DK133" s="4">
        <f t="shared" si="128"/>
        <v>874593.44</v>
      </c>
      <c r="DL133" s="4">
        <f t="shared" si="128"/>
        <v>0</v>
      </c>
      <c r="DM133" s="4">
        <f t="shared" si="128"/>
        <v>1622.9368965599997</v>
      </c>
      <c r="DN133" s="4">
        <f t="shared" si="128"/>
        <v>0</v>
      </c>
      <c r="DO133" s="4">
        <f t="shared" si="128"/>
        <v>0</v>
      </c>
      <c r="DP133" s="4">
        <f t="shared" si="128"/>
        <v>1024421.14</v>
      </c>
      <c r="DQ133" s="4">
        <f t="shared" si="128"/>
        <v>446460.03</v>
      </c>
      <c r="DR133" s="4">
        <f t="shared" si="128"/>
        <v>0</v>
      </c>
      <c r="DS133" s="4">
        <f t="shared" si="128"/>
        <v>0</v>
      </c>
      <c r="DT133" s="4">
        <f t="shared" si="128"/>
        <v>11010118.869999999</v>
      </c>
      <c r="DU133" s="4">
        <f t="shared" si="128"/>
        <v>8463600.8900000006</v>
      </c>
      <c r="DV133" s="4">
        <f t="shared" si="128"/>
        <v>1671924.54</v>
      </c>
      <c r="DW133" s="4">
        <f t="shared" si="128"/>
        <v>524365.93999999994</v>
      </c>
      <c r="DX133" s="4">
        <f t="shared" si="128"/>
        <v>874593.44</v>
      </c>
      <c r="DY133" s="4">
        <f t="shared" si="128"/>
        <v>0</v>
      </c>
      <c r="DZ133" s="4">
        <f t="shared" si="128"/>
        <v>1622.9368965599997</v>
      </c>
      <c r="EA133" s="4">
        <f t="shared" si="128"/>
        <v>0</v>
      </c>
      <c r="EB133" s="4">
        <f t="shared" si="128"/>
        <v>0</v>
      </c>
      <c r="EC133" s="4">
        <f t="shared" si="128"/>
        <v>1024421.14</v>
      </c>
      <c r="ED133" s="4">
        <f t="shared" si="128"/>
        <v>446460.03</v>
      </c>
      <c r="EE133" s="4">
        <f t="shared" si="128"/>
        <v>0</v>
      </c>
      <c r="EF133" s="4">
        <f t="shared" si="128"/>
        <v>0</v>
      </c>
      <c r="EG133" s="4">
        <f t="shared" si="128"/>
        <v>0</v>
      </c>
      <c r="EH133" s="4">
        <f t="shared" si="128"/>
        <v>0</v>
      </c>
      <c r="EI133" s="4">
        <f t="shared" si="128"/>
        <v>0</v>
      </c>
      <c r="EJ133" s="4">
        <f t="shared" si="128"/>
        <v>13319985.550000001</v>
      </c>
      <c r="EK133" s="4">
        <f t="shared" si="128"/>
        <v>13319985.550000001</v>
      </c>
      <c r="EL133" s="4">
        <f t="shared" si="128"/>
        <v>0</v>
      </c>
      <c r="EM133" s="4">
        <f t="shared" ref="EM133:FR133" si="129">EM222</f>
        <v>0</v>
      </c>
      <c r="EN133" s="4">
        <f t="shared" si="129"/>
        <v>8463600.8900000006</v>
      </c>
      <c r="EO133" s="4">
        <f t="shared" si="129"/>
        <v>8463600.8900000006</v>
      </c>
      <c r="EP133" s="4">
        <f t="shared" si="129"/>
        <v>0</v>
      </c>
      <c r="EQ133" s="4">
        <f t="shared" si="129"/>
        <v>8463600.8900000006</v>
      </c>
      <c r="ER133" s="4">
        <f t="shared" si="129"/>
        <v>0</v>
      </c>
      <c r="ES133" s="4">
        <f t="shared" si="129"/>
        <v>0</v>
      </c>
      <c r="ET133" s="4">
        <f t="shared" si="129"/>
        <v>0</v>
      </c>
      <c r="EU133" s="4">
        <f t="shared" si="129"/>
        <v>0</v>
      </c>
      <c r="EV133" s="4">
        <f t="shared" si="129"/>
        <v>0</v>
      </c>
      <c r="EW133" s="4">
        <f t="shared" si="129"/>
        <v>0</v>
      </c>
      <c r="EX133" s="4">
        <f t="shared" si="129"/>
        <v>0</v>
      </c>
      <c r="EY133" s="4">
        <f t="shared" si="129"/>
        <v>0</v>
      </c>
      <c r="EZ133" s="4">
        <f t="shared" si="129"/>
        <v>0</v>
      </c>
      <c r="FA133" s="4">
        <f t="shared" si="129"/>
        <v>0</v>
      </c>
      <c r="FB133" s="4">
        <f t="shared" si="129"/>
        <v>0</v>
      </c>
      <c r="FC133" s="4">
        <f t="shared" si="129"/>
        <v>0</v>
      </c>
      <c r="FD133" s="4">
        <f t="shared" si="129"/>
        <v>0</v>
      </c>
      <c r="FE133" s="4">
        <f t="shared" si="129"/>
        <v>0</v>
      </c>
      <c r="FF133" s="4">
        <f t="shared" si="129"/>
        <v>0</v>
      </c>
      <c r="FG133" s="4">
        <f t="shared" si="129"/>
        <v>0</v>
      </c>
      <c r="FH133" s="4">
        <f t="shared" si="129"/>
        <v>0</v>
      </c>
      <c r="FI133" s="4">
        <f t="shared" si="129"/>
        <v>0</v>
      </c>
      <c r="FJ133" s="4">
        <f t="shared" si="129"/>
        <v>0</v>
      </c>
      <c r="FK133" s="4">
        <f t="shared" si="129"/>
        <v>0</v>
      </c>
      <c r="FL133" s="4">
        <f t="shared" si="129"/>
        <v>0</v>
      </c>
      <c r="FM133" s="4">
        <f t="shared" si="129"/>
        <v>0</v>
      </c>
      <c r="FN133" s="4">
        <f t="shared" si="129"/>
        <v>0</v>
      </c>
      <c r="FO133" s="4">
        <f t="shared" si="129"/>
        <v>0</v>
      </c>
      <c r="FP133" s="4">
        <f t="shared" si="129"/>
        <v>0</v>
      </c>
      <c r="FQ133" s="4">
        <f t="shared" si="129"/>
        <v>0</v>
      </c>
      <c r="FR133" s="4">
        <f t="shared" si="129"/>
        <v>0</v>
      </c>
      <c r="FS133" s="4">
        <f t="shared" ref="FS133:GX133" si="130">FS222</f>
        <v>13319985.550000001</v>
      </c>
      <c r="FT133" s="4">
        <f t="shared" si="130"/>
        <v>13319985.550000001</v>
      </c>
      <c r="FU133" s="4">
        <f t="shared" si="130"/>
        <v>0</v>
      </c>
      <c r="FV133" s="4">
        <f t="shared" si="130"/>
        <v>0</v>
      </c>
      <c r="FW133" s="4">
        <f t="shared" si="130"/>
        <v>8463600.8900000006</v>
      </c>
      <c r="FX133" s="4">
        <f t="shared" si="130"/>
        <v>8463600.8900000006</v>
      </c>
      <c r="FY133" s="4">
        <f t="shared" si="130"/>
        <v>0</v>
      </c>
      <c r="FZ133" s="4">
        <f t="shared" si="130"/>
        <v>8463600.8900000006</v>
      </c>
      <c r="GA133" s="4">
        <f t="shared" si="130"/>
        <v>0</v>
      </c>
      <c r="GB133" s="4">
        <f t="shared" si="130"/>
        <v>0</v>
      </c>
      <c r="GC133" s="4">
        <f t="shared" si="130"/>
        <v>0</v>
      </c>
      <c r="GD133" s="4">
        <f t="shared" si="130"/>
        <v>0</v>
      </c>
      <c r="GE133" s="4">
        <f t="shared" si="130"/>
        <v>0</v>
      </c>
      <c r="GF133" s="4">
        <f t="shared" si="130"/>
        <v>0</v>
      </c>
      <c r="GG133" s="4">
        <f t="shared" si="130"/>
        <v>0</v>
      </c>
      <c r="GH133" s="4">
        <f t="shared" si="130"/>
        <v>0</v>
      </c>
      <c r="GI133" s="4">
        <f t="shared" si="130"/>
        <v>0</v>
      </c>
      <c r="GJ133" s="4">
        <f t="shared" si="130"/>
        <v>0</v>
      </c>
      <c r="GK133" s="4">
        <f t="shared" si="130"/>
        <v>0</v>
      </c>
      <c r="GL133" s="4">
        <f t="shared" si="130"/>
        <v>0</v>
      </c>
      <c r="GM133" s="4">
        <f t="shared" si="130"/>
        <v>0</v>
      </c>
      <c r="GN133" s="4">
        <f t="shared" si="130"/>
        <v>0</v>
      </c>
      <c r="GO133" s="4">
        <f t="shared" si="130"/>
        <v>0</v>
      </c>
      <c r="GP133" s="4">
        <f t="shared" si="130"/>
        <v>0</v>
      </c>
      <c r="GQ133" s="4">
        <f t="shared" si="130"/>
        <v>0</v>
      </c>
      <c r="GR133" s="4">
        <f t="shared" si="130"/>
        <v>0</v>
      </c>
      <c r="GS133" s="4">
        <f t="shared" si="130"/>
        <v>0</v>
      </c>
      <c r="GT133" s="4">
        <f t="shared" si="130"/>
        <v>0</v>
      </c>
      <c r="GU133" s="4">
        <f t="shared" si="130"/>
        <v>0</v>
      </c>
      <c r="GV133" s="4">
        <f t="shared" si="130"/>
        <v>0</v>
      </c>
      <c r="GW133" s="4">
        <f t="shared" si="130"/>
        <v>0</v>
      </c>
      <c r="GX133" s="4">
        <f t="shared" si="130"/>
        <v>0</v>
      </c>
    </row>
    <row r="135" spans="1:255">
      <c r="A135" s="2">
        <v>19</v>
      </c>
      <c r="B135" s="2">
        <v>1</v>
      </c>
      <c r="C135" s="2"/>
      <c r="D135" s="2"/>
      <c r="E135" s="2"/>
      <c r="F135" s="2" t="s">
        <v>6</v>
      </c>
      <c r="G135" s="2" t="s">
        <v>121</v>
      </c>
      <c r="H135" s="2" t="s">
        <v>6</v>
      </c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>
        <v>1</v>
      </c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/>
      <c r="FR135" s="2"/>
      <c r="FS135" s="2"/>
      <c r="FT135" s="2"/>
      <c r="FU135" s="2"/>
      <c r="FV135" s="2"/>
      <c r="FW135" s="2"/>
      <c r="FX135" s="2"/>
      <c r="FY135" s="2"/>
      <c r="FZ135" s="2"/>
      <c r="GA135" s="2"/>
      <c r="GB135" s="2"/>
      <c r="GC135" s="2"/>
      <c r="GD135" s="2"/>
      <c r="GE135" s="2"/>
      <c r="GF135" s="2"/>
      <c r="GG135" s="2"/>
      <c r="GH135" s="2"/>
      <c r="GI135" s="2"/>
      <c r="GJ135" s="2"/>
      <c r="GK135" s="2"/>
      <c r="GL135" s="2"/>
      <c r="GM135" s="2"/>
      <c r="GN135" s="2"/>
      <c r="GO135" s="2"/>
      <c r="GP135" s="2"/>
      <c r="GQ135" s="2"/>
      <c r="GR135" s="2"/>
      <c r="GS135" s="2"/>
      <c r="GT135" s="2"/>
      <c r="GU135" s="2"/>
      <c r="GV135" s="2"/>
      <c r="GW135" s="2"/>
      <c r="GX135" s="2"/>
      <c r="GY135" s="2"/>
      <c r="GZ135" s="2"/>
      <c r="HA135" s="2"/>
      <c r="HB135" s="2"/>
      <c r="HC135" s="2"/>
      <c r="HD135" s="2"/>
      <c r="HE135" s="2"/>
      <c r="HF135" s="2"/>
      <c r="HG135" s="2"/>
      <c r="HH135" s="2"/>
      <c r="HI135" s="2"/>
      <c r="HJ135" s="2"/>
      <c r="HK135" s="2"/>
      <c r="HL135" s="2"/>
      <c r="HM135" s="2"/>
      <c r="HN135" s="2"/>
      <c r="HO135" s="2"/>
      <c r="HP135" s="2"/>
      <c r="HQ135" s="2"/>
      <c r="HR135" s="2"/>
      <c r="HS135" s="2"/>
      <c r="HT135" s="2"/>
      <c r="HU135" s="2"/>
      <c r="HV135" s="2"/>
      <c r="HW135" s="2"/>
      <c r="HX135" s="2"/>
      <c r="HY135" s="2"/>
      <c r="HZ135" s="2"/>
      <c r="IA135" s="2"/>
      <c r="IB135" s="2"/>
      <c r="IC135" s="2"/>
      <c r="ID135" s="2"/>
      <c r="IE135" s="2"/>
      <c r="IF135" s="2"/>
      <c r="IG135" s="2"/>
      <c r="IH135" s="2"/>
      <c r="II135" s="2"/>
      <c r="IJ135" s="2"/>
      <c r="IK135" s="2">
        <v>0</v>
      </c>
      <c r="IL135" s="2"/>
      <c r="IM135" s="2"/>
      <c r="IN135" s="2"/>
      <c r="IO135" s="2"/>
      <c r="IP135" s="2"/>
      <c r="IQ135" s="2"/>
      <c r="IR135" s="2"/>
      <c r="IS135" s="2"/>
      <c r="IT135" s="2"/>
      <c r="IU135" s="2"/>
    </row>
    <row r="136" spans="1:255">
      <c r="A136" s="2">
        <v>17</v>
      </c>
      <c r="B136" s="2">
        <v>1</v>
      </c>
      <c r="C136" s="2"/>
      <c r="D136" s="2"/>
      <c r="E136" s="2" t="s">
        <v>122</v>
      </c>
      <c r="F136" s="2" t="s">
        <v>123</v>
      </c>
      <c r="G136" s="2" t="s">
        <v>124</v>
      </c>
      <c r="H136" s="2" t="s">
        <v>125</v>
      </c>
      <c r="I136" s="2">
        <f>ROUND((1514.4*(0.05+0.06))/100,9)</f>
        <v>1.66584</v>
      </c>
      <c r="J136" s="2">
        <v>0</v>
      </c>
      <c r="K136" s="2">
        <f>ROUND((1514.4*(0.05+0.06))/100,9)</f>
        <v>1.66584</v>
      </c>
      <c r="L136" s="2"/>
      <c r="M136" s="2"/>
      <c r="N136" s="2"/>
      <c r="O136" s="2">
        <f t="shared" ref="O136:O143" si="131">ROUND(CP136,2)</f>
        <v>6320.53</v>
      </c>
      <c r="P136" s="2">
        <f t="shared" ref="P136:P143" si="132">ROUND((ROUND((AC136*AW136*I136),2)*BC136),2)</f>
        <v>0</v>
      </c>
      <c r="Q136" s="2">
        <f t="shared" ref="Q136:Q143" si="133">(ROUND((ROUND(((ET136)*AV136*I136),2)*BB136),2)+ROUND((ROUND(((AE136-(EU136))*AV136*I136),2)*BS136),2))</f>
        <v>3376.52</v>
      </c>
      <c r="R136" s="2">
        <f t="shared" ref="R136:R143" si="134">ROUND((ROUND((AE136*AV136*I136),2)*BS136),2)</f>
        <v>877.28</v>
      </c>
      <c r="S136" s="2">
        <f t="shared" ref="S136:S143" si="135">ROUND((ROUND((AF136*AV136*I136),2)*BA136),2)</f>
        <v>2944.01</v>
      </c>
      <c r="T136" s="2">
        <f t="shared" ref="T136:T143" si="136">ROUND(CU136*I136,2)</f>
        <v>0</v>
      </c>
      <c r="U136" s="2">
        <f t="shared" ref="U136:U143" si="137">CV136*I136</f>
        <v>270.34084439999998</v>
      </c>
      <c r="V136" s="2">
        <f t="shared" ref="V136:V143" si="138">CW136*I136</f>
        <v>0</v>
      </c>
      <c r="W136" s="2">
        <f t="shared" ref="W136:W143" si="139">ROUND(CX136*I136,2)</f>
        <v>0</v>
      </c>
      <c r="X136" s="2">
        <f t="shared" ref="X136:Y143" si="140">ROUND(CY136,2)</f>
        <v>2355.21</v>
      </c>
      <c r="Y136" s="2">
        <f t="shared" si="140"/>
        <v>1619.21</v>
      </c>
      <c r="Z136" s="2"/>
      <c r="AA136" s="2">
        <v>70322058</v>
      </c>
      <c r="AB136" s="2">
        <f t="shared" ref="AB136:AB143" si="141">ROUND((AC136+AD136+AF136),6)</f>
        <v>3623.88</v>
      </c>
      <c r="AC136" s="2">
        <f t="shared" ref="AC136:AC143" si="142">ROUND((ES136),6)</f>
        <v>0</v>
      </c>
      <c r="AD136" s="2">
        <f t="shared" ref="AD136:AD143" si="143">ROUND((((ET136)-(EU136))+AE136),6)</f>
        <v>1935.93</v>
      </c>
      <c r="AE136" s="2">
        <f t="shared" ref="AE136:AF143" si="144">ROUND((EU136),6)</f>
        <v>502.99</v>
      </c>
      <c r="AF136" s="2">
        <f t="shared" si="144"/>
        <v>1687.95</v>
      </c>
      <c r="AG136" s="2">
        <f t="shared" ref="AG136:AG143" si="145">ROUND((AP136),6)</f>
        <v>0</v>
      </c>
      <c r="AH136" s="2">
        <f t="shared" ref="AH136:AI143" si="146">(EW136)</f>
        <v>155</v>
      </c>
      <c r="AI136" s="2">
        <f t="shared" si="146"/>
        <v>0</v>
      </c>
      <c r="AJ136" s="2">
        <f t="shared" ref="AJ136:AJ143" si="147">(AS136)</f>
        <v>0</v>
      </c>
      <c r="AK136" s="2">
        <v>3623.88</v>
      </c>
      <c r="AL136" s="2">
        <v>0</v>
      </c>
      <c r="AM136" s="2">
        <v>1935.93</v>
      </c>
      <c r="AN136" s="2">
        <v>502.99</v>
      </c>
      <c r="AO136" s="2">
        <v>1687.95</v>
      </c>
      <c r="AP136" s="2">
        <v>0</v>
      </c>
      <c r="AQ136" s="2">
        <v>155</v>
      </c>
      <c r="AR136" s="2">
        <v>0</v>
      </c>
      <c r="AS136" s="2">
        <v>0</v>
      </c>
      <c r="AT136" s="2">
        <v>80</v>
      </c>
      <c r="AU136" s="2">
        <v>55</v>
      </c>
      <c r="AV136" s="2">
        <v>1.0469999999999999</v>
      </c>
      <c r="AW136" s="2">
        <v>1</v>
      </c>
      <c r="AX136" s="2"/>
      <c r="AY136" s="2"/>
      <c r="AZ136" s="2">
        <v>1</v>
      </c>
      <c r="BA136" s="2">
        <v>1</v>
      </c>
      <c r="BB136" s="2">
        <v>1</v>
      </c>
      <c r="BC136" s="2">
        <v>1</v>
      </c>
      <c r="BD136" s="2" t="s">
        <v>6</v>
      </c>
      <c r="BE136" s="2" t="s">
        <v>6</v>
      </c>
      <c r="BF136" s="2" t="s">
        <v>6</v>
      </c>
      <c r="BG136" s="2" t="s">
        <v>6</v>
      </c>
      <c r="BH136" s="2">
        <v>0</v>
      </c>
      <c r="BI136" s="2">
        <v>1</v>
      </c>
      <c r="BJ136" s="2" t="s">
        <v>126</v>
      </c>
      <c r="BK136" s="2"/>
      <c r="BL136" s="2"/>
      <c r="BM136" s="2">
        <v>674</v>
      </c>
      <c r="BN136" s="2">
        <v>0</v>
      </c>
      <c r="BO136" s="2" t="s">
        <v>6</v>
      </c>
      <c r="BP136" s="2">
        <v>0</v>
      </c>
      <c r="BQ136" s="2">
        <v>60</v>
      </c>
      <c r="BR136" s="2">
        <v>0</v>
      </c>
      <c r="BS136" s="2">
        <v>1</v>
      </c>
      <c r="BT136" s="2">
        <v>1</v>
      </c>
      <c r="BU136" s="2">
        <v>1</v>
      </c>
      <c r="BV136" s="2">
        <v>1</v>
      </c>
      <c r="BW136" s="2">
        <v>1</v>
      </c>
      <c r="BX136" s="2">
        <v>1</v>
      </c>
      <c r="BY136" s="2" t="s">
        <v>6</v>
      </c>
      <c r="BZ136" s="2">
        <v>80</v>
      </c>
      <c r="CA136" s="2">
        <v>55</v>
      </c>
      <c r="CB136" s="2" t="s">
        <v>6</v>
      </c>
      <c r="CC136" s="2"/>
      <c r="CD136" s="2"/>
      <c r="CE136" s="2">
        <v>30</v>
      </c>
      <c r="CF136" s="2">
        <v>0</v>
      </c>
      <c r="CG136" s="2">
        <v>0</v>
      </c>
      <c r="CH136" s="2"/>
      <c r="CI136" s="2"/>
      <c r="CJ136" s="2"/>
      <c r="CK136" s="2"/>
      <c r="CL136" s="2"/>
      <c r="CM136" s="2">
        <v>0</v>
      </c>
      <c r="CN136" s="2" t="s">
        <v>6</v>
      </c>
      <c r="CO136" s="2">
        <v>0</v>
      </c>
      <c r="CP136" s="2">
        <f t="shared" ref="CP136:CP143" si="148">(P136+Q136+S136)</f>
        <v>6320.5300000000007</v>
      </c>
      <c r="CQ136" s="2">
        <f t="shared" ref="CQ136:CQ143" si="149">ROUND((ROUND((AC136*AW136*1),2)*BC136),2)</f>
        <v>0</v>
      </c>
      <c r="CR136" s="2">
        <f t="shared" ref="CR136:CR143" si="150">(ROUND((ROUND(((ET136)*AV136*1),2)*BB136),2)+ROUND((ROUND(((AE136-(EU136))*AV136*1),2)*BS136),2))</f>
        <v>2026.92</v>
      </c>
      <c r="CS136" s="2">
        <f t="shared" ref="CS136:CS143" si="151">ROUND((ROUND((AE136*AV136*1),2)*BS136),2)</f>
        <v>526.63</v>
      </c>
      <c r="CT136" s="2">
        <f t="shared" ref="CT136:CT143" si="152">ROUND((ROUND((AF136*AV136*1),2)*BA136),2)</f>
        <v>1767.28</v>
      </c>
      <c r="CU136" s="2">
        <f t="shared" ref="CU136:CU143" si="153">AG136</f>
        <v>0</v>
      </c>
      <c r="CV136" s="2">
        <f t="shared" ref="CV136:CV143" si="154">(AH136*AV136)</f>
        <v>162.285</v>
      </c>
      <c r="CW136" s="2">
        <f t="shared" ref="CW136:CX143" si="155">AI136</f>
        <v>0</v>
      </c>
      <c r="CX136" s="2">
        <f t="shared" si="155"/>
        <v>0</v>
      </c>
      <c r="CY136" s="2">
        <f>((S136*BZ136)/100)</f>
        <v>2355.2080000000001</v>
      </c>
      <c r="CZ136" s="2">
        <f>((S136*CA136)/100)</f>
        <v>1619.2055000000003</v>
      </c>
      <c r="DA136" s="2"/>
      <c r="DB136" s="2"/>
      <c r="DC136" s="2" t="s">
        <v>6</v>
      </c>
      <c r="DD136" s="2" t="s">
        <v>6</v>
      </c>
      <c r="DE136" s="2" t="s">
        <v>6</v>
      </c>
      <c r="DF136" s="2" t="s">
        <v>6</v>
      </c>
      <c r="DG136" s="2" t="s">
        <v>6</v>
      </c>
      <c r="DH136" s="2" t="s">
        <v>6</v>
      </c>
      <c r="DI136" s="2" t="s">
        <v>6</v>
      </c>
      <c r="DJ136" s="2" t="s">
        <v>6</v>
      </c>
      <c r="DK136" s="2" t="s">
        <v>6</v>
      </c>
      <c r="DL136" s="2" t="s">
        <v>6</v>
      </c>
      <c r="DM136" s="2" t="s">
        <v>6</v>
      </c>
      <c r="DN136" s="2">
        <v>0</v>
      </c>
      <c r="DO136" s="2">
        <v>0</v>
      </c>
      <c r="DP136" s="2">
        <v>1</v>
      </c>
      <c r="DQ136" s="2">
        <v>1</v>
      </c>
      <c r="DR136" s="2"/>
      <c r="DS136" s="2"/>
      <c r="DT136" s="2"/>
      <c r="DU136" s="2">
        <v>1007</v>
      </c>
      <c r="DV136" s="2" t="s">
        <v>125</v>
      </c>
      <c r="DW136" s="2" t="s">
        <v>125</v>
      </c>
      <c r="DX136" s="2">
        <v>100</v>
      </c>
      <c r="DY136" s="2"/>
      <c r="DZ136" s="2" t="s">
        <v>6</v>
      </c>
      <c r="EA136" s="2" t="s">
        <v>6</v>
      </c>
      <c r="EB136" s="2" t="s">
        <v>6</v>
      </c>
      <c r="EC136" s="2" t="s">
        <v>6</v>
      </c>
      <c r="ED136" s="2"/>
      <c r="EE136" s="2">
        <v>69253299</v>
      </c>
      <c r="EF136" s="2">
        <v>60</v>
      </c>
      <c r="EG136" s="2" t="s">
        <v>127</v>
      </c>
      <c r="EH136" s="2">
        <v>0</v>
      </c>
      <c r="EI136" s="2" t="s">
        <v>6</v>
      </c>
      <c r="EJ136" s="2">
        <v>1</v>
      </c>
      <c r="EK136" s="2">
        <v>674</v>
      </c>
      <c r="EL136" s="2" t="s">
        <v>128</v>
      </c>
      <c r="EM136" s="2" t="s">
        <v>129</v>
      </c>
      <c r="EN136" s="2"/>
      <c r="EO136" s="2" t="s">
        <v>6</v>
      </c>
      <c r="EP136" s="2"/>
      <c r="EQ136" s="2">
        <v>0</v>
      </c>
      <c r="ER136" s="2">
        <v>3623.88</v>
      </c>
      <c r="ES136" s="2">
        <v>0</v>
      </c>
      <c r="ET136" s="2">
        <v>1935.93</v>
      </c>
      <c r="EU136" s="2">
        <v>502.99</v>
      </c>
      <c r="EV136" s="2">
        <v>1687.95</v>
      </c>
      <c r="EW136" s="2">
        <v>155</v>
      </c>
      <c r="EX136" s="2">
        <v>0</v>
      </c>
      <c r="EY136" s="2">
        <v>0</v>
      </c>
      <c r="EZ136" s="2"/>
      <c r="FA136" s="2"/>
      <c r="FB136" s="2"/>
      <c r="FC136" s="2"/>
      <c r="FD136" s="2"/>
      <c r="FE136" s="2"/>
      <c r="FF136" s="2"/>
      <c r="FG136" s="2"/>
      <c r="FH136" s="2"/>
      <c r="FI136" s="2"/>
      <c r="FJ136" s="2"/>
      <c r="FK136" s="2"/>
      <c r="FL136" s="2"/>
      <c r="FM136" s="2"/>
      <c r="FN136" s="2"/>
      <c r="FO136" s="2"/>
      <c r="FP136" s="2"/>
      <c r="FQ136" s="2">
        <v>0</v>
      </c>
      <c r="FR136" s="2">
        <f t="shared" ref="FR136:FR143" si="156">ROUND(IF(BI136=3,GM136,0),2)</f>
        <v>0</v>
      </c>
      <c r="FS136" s="2">
        <v>0</v>
      </c>
      <c r="FT136" s="2"/>
      <c r="FU136" s="2"/>
      <c r="FV136" s="2"/>
      <c r="FW136" s="2"/>
      <c r="FX136" s="2">
        <v>80</v>
      </c>
      <c r="FY136" s="2">
        <v>55</v>
      </c>
      <c r="FZ136" s="2"/>
      <c r="GA136" s="2" t="s">
        <v>6</v>
      </c>
      <c r="GB136" s="2"/>
      <c r="GC136" s="2"/>
      <c r="GD136" s="2">
        <v>0</v>
      </c>
      <c r="GE136" s="2"/>
      <c r="GF136" s="2">
        <v>1949081469</v>
      </c>
      <c r="GG136" s="2">
        <v>2</v>
      </c>
      <c r="GH136" s="2">
        <v>1</v>
      </c>
      <c r="GI136" s="2">
        <v>-2</v>
      </c>
      <c r="GJ136" s="2">
        <v>0</v>
      </c>
      <c r="GK136" s="2">
        <f>ROUND(R136*(R12)/100,2)</f>
        <v>1535.24</v>
      </c>
      <c r="GL136" s="2">
        <f t="shared" ref="GL136:GL143" si="157">ROUND(IF(AND(BH136=3,BI136=3,FS136&lt;&gt;0),P136,0),2)</f>
        <v>0</v>
      </c>
      <c r="GM136" s="2">
        <f t="shared" ref="GM136:GM143" si="158">ROUND(O136+X136+Y136+GK136,2)+GX136</f>
        <v>11830.19</v>
      </c>
      <c r="GN136" s="2">
        <f t="shared" ref="GN136:GN143" si="159">IF(OR(BI136=0,BI136=1),GM136-GX136,0)</f>
        <v>11830.19</v>
      </c>
      <c r="GO136" s="2">
        <f t="shared" ref="GO136:GO143" si="160">IF(BI136=2,GM136-GX136,0)</f>
        <v>0</v>
      </c>
      <c r="GP136" s="2">
        <f t="shared" ref="GP136:GP143" si="161">IF(BI136=4,GM136-GX136,0)</f>
        <v>0</v>
      </c>
      <c r="GQ136" s="2"/>
      <c r="GR136" s="2">
        <v>0</v>
      </c>
      <c r="GS136" s="2">
        <v>3</v>
      </c>
      <c r="GT136" s="2">
        <v>0</v>
      </c>
      <c r="GU136" s="2" t="s">
        <v>6</v>
      </c>
      <c r="GV136" s="2">
        <f t="shared" ref="GV136:GV143" si="162">ROUND((GT136),6)</f>
        <v>0</v>
      </c>
      <c r="GW136" s="2">
        <v>1</v>
      </c>
      <c r="GX136" s="2">
        <f t="shared" ref="GX136:GX143" si="163">ROUND(HC136*I136,2)</f>
        <v>0</v>
      </c>
      <c r="GY136" s="2"/>
      <c r="GZ136" s="2"/>
      <c r="HA136" s="2">
        <v>0</v>
      </c>
      <c r="HB136" s="2">
        <v>0</v>
      </c>
      <c r="HC136" s="2">
        <f t="shared" ref="HC136:HC143" si="164">GV136*GW136</f>
        <v>0</v>
      </c>
      <c r="HD136" s="2"/>
      <c r="HE136" s="2" t="s">
        <v>6</v>
      </c>
      <c r="HF136" s="2" t="s">
        <v>6</v>
      </c>
      <c r="HG136" s="2"/>
      <c r="HH136" s="2"/>
      <c r="HI136" s="2"/>
      <c r="HJ136" s="2"/>
      <c r="HK136" s="2"/>
      <c r="HL136" s="2"/>
      <c r="HM136" s="2" t="s">
        <v>6</v>
      </c>
      <c r="HN136" s="2" t="s">
        <v>6</v>
      </c>
      <c r="HO136" s="2" t="s">
        <v>6</v>
      </c>
      <c r="HP136" s="2" t="s">
        <v>6</v>
      </c>
      <c r="HQ136" s="2" t="s">
        <v>6</v>
      </c>
      <c r="HR136" s="2"/>
      <c r="HS136" s="2"/>
      <c r="HT136" s="2"/>
      <c r="HU136" s="2"/>
      <c r="HV136" s="2"/>
      <c r="HW136" s="2"/>
      <c r="HX136" s="2"/>
      <c r="HY136" s="2"/>
      <c r="HZ136" s="2"/>
      <c r="IA136" s="2"/>
      <c r="IB136" s="2"/>
      <c r="IC136" s="2"/>
      <c r="ID136" s="2"/>
      <c r="IE136" s="2"/>
      <c r="IF136" s="2"/>
      <c r="IG136" s="2"/>
      <c r="IH136" s="2"/>
      <c r="II136" s="2"/>
      <c r="IJ136" s="2"/>
      <c r="IK136" s="2">
        <v>0</v>
      </c>
      <c r="IL136" s="2"/>
      <c r="IM136" s="2"/>
      <c r="IN136" s="2"/>
      <c r="IO136" s="2"/>
      <c r="IP136" s="2"/>
      <c r="IQ136" s="2"/>
      <c r="IR136" s="2"/>
      <c r="IS136" s="2"/>
      <c r="IT136" s="2"/>
      <c r="IU136" s="2"/>
    </row>
    <row r="137" spans="1:255">
      <c r="A137">
        <v>17</v>
      </c>
      <c r="B137">
        <v>1</v>
      </c>
      <c r="E137" t="s">
        <v>122</v>
      </c>
      <c r="F137" t="s">
        <v>123</v>
      </c>
      <c r="G137" t="s">
        <v>124</v>
      </c>
      <c r="H137" t="s">
        <v>125</v>
      </c>
      <c r="I137">
        <f>ROUND((1514.4*(0.05+0.06))/100,9)</f>
        <v>1.66584</v>
      </c>
      <c r="J137">
        <v>0</v>
      </c>
      <c r="K137">
        <f>ROUND((1514.4*(0.05+0.06))/100,9)</f>
        <v>1.66584</v>
      </c>
      <c r="O137">
        <f t="shared" si="131"/>
        <v>205298.77</v>
      </c>
      <c r="P137">
        <f t="shared" si="132"/>
        <v>0</v>
      </c>
      <c r="Q137">
        <f t="shared" si="133"/>
        <v>67901.820000000007</v>
      </c>
      <c r="R137">
        <f t="shared" si="134"/>
        <v>40942.660000000003</v>
      </c>
      <c r="S137">
        <f t="shared" si="135"/>
        <v>137396.95000000001</v>
      </c>
      <c r="T137">
        <f t="shared" si="136"/>
        <v>0</v>
      </c>
      <c r="U137">
        <f t="shared" si="137"/>
        <v>270.34084439999998</v>
      </c>
      <c r="V137">
        <f t="shared" si="138"/>
        <v>0</v>
      </c>
      <c r="W137">
        <f t="shared" si="139"/>
        <v>0</v>
      </c>
      <c r="X137">
        <f t="shared" si="140"/>
        <v>96177.87</v>
      </c>
      <c r="Y137">
        <f t="shared" si="140"/>
        <v>56332.75</v>
      </c>
      <c r="AA137">
        <v>70322059</v>
      </c>
      <c r="AB137">
        <f t="shared" si="141"/>
        <v>3623.88</v>
      </c>
      <c r="AC137">
        <f t="shared" si="142"/>
        <v>0</v>
      </c>
      <c r="AD137">
        <f t="shared" si="143"/>
        <v>1935.93</v>
      </c>
      <c r="AE137">
        <f t="shared" si="144"/>
        <v>502.99</v>
      </c>
      <c r="AF137">
        <f t="shared" si="144"/>
        <v>1687.95</v>
      </c>
      <c r="AG137">
        <f t="shared" si="145"/>
        <v>0</v>
      </c>
      <c r="AH137">
        <f t="shared" si="146"/>
        <v>155</v>
      </c>
      <c r="AI137">
        <f t="shared" si="146"/>
        <v>0</v>
      </c>
      <c r="AJ137">
        <f t="shared" si="147"/>
        <v>0</v>
      </c>
      <c r="AK137">
        <v>3623.88</v>
      </c>
      <c r="AL137">
        <v>0</v>
      </c>
      <c r="AM137">
        <v>1935.93</v>
      </c>
      <c r="AN137">
        <v>502.99</v>
      </c>
      <c r="AO137">
        <v>1687.95</v>
      </c>
      <c r="AP137">
        <v>0</v>
      </c>
      <c r="AQ137">
        <v>155</v>
      </c>
      <c r="AR137">
        <v>0</v>
      </c>
      <c r="AS137">
        <v>0</v>
      </c>
      <c r="AT137">
        <v>70</v>
      </c>
      <c r="AU137">
        <v>41</v>
      </c>
      <c r="AV137">
        <v>1.0469999999999999</v>
      </c>
      <c r="AW137">
        <v>1</v>
      </c>
      <c r="AZ137">
        <v>1</v>
      </c>
      <c r="BA137">
        <v>46.67</v>
      </c>
      <c r="BB137">
        <v>20.11</v>
      </c>
      <c r="BC137">
        <v>1</v>
      </c>
      <c r="BD137" t="s">
        <v>6</v>
      </c>
      <c r="BE137" t="s">
        <v>6</v>
      </c>
      <c r="BF137" t="s">
        <v>6</v>
      </c>
      <c r="BG137" t="s">
        <v>6</v>
      </c>
      <c r="BH137">
        <v>0</v>
      </c>
      <c r="BI137">
        <v>1</v>
      </c>
      <c r="BJ137" t="s">
        <v>126</v>
      </c>
      <c r="BM137">
        <v>674</v>
      </c>
      <c r="BN137">
        <v>0</v>
      </c>
      <c r="BO137" t="s">
        <v>123</v>
      </c>
      <c r="BP137">
        <v>1</v>
      </c>
      <c r="BQ137">
        <v>60</v>
      </c>
      <c r="BR137">
        <v>0</v>
      </c>
      <c r="BS137">
        <v>46.67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6</v>
      </c>
      <c r="BZ137">
        <v>70</v>
      </c>
      <c r="CA137">
        <v>41</v>
      </c>
      <c r="CB137" t="s">
        <v>6</v>
      </c>
      <c r="CE137">
        <v>30</v>
      </c>
      <c r="CF137">
        <v>0</v>
      </c>
      <c r="CG137">
        <v>0</v>
      </c>
      <c r="CM137">
        <v>0</v>
      </c>
      <c r="CN137" t="s">
        <v>6</v>
      </c>
      <c r="CO137">
        <v>0</v>
      </c>
      <c r="CP137">
        <f t="shared" si="148"/>
        <v>205298.77000000002</v>
      </c>
      <c r="CQ137">
        <f t="shared" si="149"/>
        <v>0</v>
      </c>
      <c r="CR137">
        <f t="shared" si="150"/>
        <v>40761.360000000001</v>
      </c>
      <c r="CS137">
        <f t="shared" si="151"/>
        <v>24577.82</v>
      </c>
      <c r="CT137">
        <f t="shared" si="152"/>
        <v>82478.960000000006</v>
      </c>
      <c r="CU137">
        <f t="shared" si="153"/>
        <v>0</v>
      </c>
      <c r="CV137">
        <f t="shared" si="154"/>
        <v>162.285</v>
      </c>
      <c r="CW137">
        <f t="shared" si="155"/>
        <v>0</v>
      </c>
      <c r="CX137">
        <f t="shared" si="155"/>
        <v>0</v>
      </c>
      <c r="CY137">
        <f>S137*(BZ137/100)</f>
        <v>96177.865000000005</v>
      </c>
      <c r="CZ137">
        <f>S137*(CA137/100)</f>
        <v>56332.749499999998</v>
      </c>
      <c r="DC137" t="s">
        <v>6</v>
      </c>
      <c r="DD137" t="s">
        <v>6</v>
      </c>
      <c r="DE137" t="s">
        <v>6</v>
      </c>
      <c r="DF137" t="s">
        <v>6</v>
      </c>
      <c r="DG137" t="s">
        <v>6</v>
      </c>
      <c r="DH137" t="s">
        <v>6</v>
      </c>
      <c r="DI137" t="s">
        <v>6</v>
      </c>
      <c r="DJ137" t="s">
        <v>6</v>
      </c>
      <c r="DK137" t="s">
        <v>6</v>
      </c>
      <c r="DL137" t="s">
        <v>6</v>
      </c>
      <c r="DM137" t="s">
        <v>6</v>
      </c>
      <c r="DN137">
        <v>80</v>
      </c>
      <c r="DO137">
        <v>55</v>
      </c>
      <c r="DP137">
        <v>1.0469999999999999</v>
      </c>
      <c r="DQ137">
        <v>1</v>
      </c>
      <c r="DU137">
        <v>1007</v>
      </c>
      <c r="DV137" t="s">
        <v>125</v>
      </c>
      <c r="DW137" t="s">
        <v>125</v>
      </c>
      <c r="DX137">
        <v>100</v>
      </c>
      <c r="DZ137" t="s">
        <v>6</v>
      </c>
      <c r="EA137" t="s">
        <v>6</v>
      </c>
      <c r="EB137" t="s">
        <v>6</v>
      </c>
      <c r="EC137" t="s">
        <v>6</v>
      </c>
      <c r="EE137">
        <v>69253299</v>
      </c>
      <c r="EF137">
        <v>60</v>
      </c>
      <c r="EG137" t="s">
        <v>127</v>
      </c>
      <c r="EH137">
        <v>0</v>
      </c>
      <c r="EI137" t="s">
        <v>6</v>
      </c>
      <c r="EJ137">
        <v>1</v>
      </c>
      <c r="EK137">
        <v>674</v>
      </c>
      <c r="EL137" t="s">
        <v>128</v>
      </c>
      <c r="EM137" t="s">
        <v>129</v>
      </c>
      <c r="EO137" t="s">
        <v>6</v>
      </c>
      <c r="EQ137">
        <v>0</v>
      </c>
      <c r="ER137">
        <v>3623.88</v>
      </c>
      <c r="ES137">
        <v>0</v>
      </c>
      <c r="ET137">
        <v>1935.93</v>
      </c>
      <c r="EU137">
        <v>502.99</v>
      </c>
      <c r="EV137">
        <v>1687.95</v>
      </c>
      <c r="EW137">
        <v>155</v>
      </c>
      <c r="EX137">
        <v>0</v>
      </c>
      <c r="EY137">
        <v>0</v>
      </c>
      <c r="FQ137">
        <v>0</v>
      </c>
      <c r="FR137">
        <f t="shared" si="156"/>
        <v>0</v>
      </c>
      <c r="FS137">
        <v>0</v>
      </c>
      <c r="FX137">
        <v>80</v>
      </c>
      <c r="FY137">
        <v>55</v>
      </c>
      <c r="GA137" t="s">
        <v>6</v>
      </c>
      <c r="GD137">
        <v>0</v>
      </c>
      <c r="GF137">
        <v>1949081469</v>
      </c>
      <c r="GG137">
        <v>2</v>
      </c>
      <c r="GH137">
        <v>1</v>
      </c>
      <c r="GI137">
        <v>2</v>
      </c>
      <c r="GJ137">
        <v>0</v>
      </c>
      <c r="GK137">
        <f>ROUND(R137*(S12)/100,2)</f>
        <v>65508.26</v>
      </c>
      <c r="GL137">
        <f t="shared" si="157"/>
        <v>0</v>
      </c>
      <c r="GM137">
        <f t="shared" si="158"/>
        <v>423317.65</v>
      </c>
      <c r="GN137">
        <f t="shared" si="159"/>
        <v>423317.65</v>
      </c>
      <c r="GO137">
        <f t="shared" si="160"/>
        <v>0</v>
      </c>
      <c r="GP137">
        <f t="shared" si="161"/>
        <v>0</v>
      </c>
      <c r="GR137">
        <v>0</v>
      </c>
      <c r="GS137">
        <v>0</v>
      </c>
      <c r="GT137">
        <v>0</v>
      </c>
      <c r="GU137" t="s">
        <v>6</v>
      </c>
      <c r="GV137">
        <f t="shared" si="162"/>
        <v>0</v>
      </c>
      <c r="GW137">
        <v>1</v>
      </c>
      <c r="GX137">
        <f t="shared" si="163"/>
        <v>0</v>
      </c>
      <c r="HA137">
        <v>0</v>
      </c>
      <c r="HB137">
        <v>0</v>
      </c>
      <c r="HC137">
        <f t="shared" si="164"/>
        <v>0</v>
      </c>
      <c r="HE137" t="s">
        <v>6</v>
      </c>
      <c r="HF137" t="s">
        <v>6</v>
      </c>
      <c r="HM137" t="s">
        <v>6</v>
      </c>
      <c r="HN137" t="s">
        <v>6</v>
      </c>
      <c r="HO137" t="s">
        <v>6</v>
      </c>
      <c r="HP137" t="s">
        <v>6</v>
      </c>
      <c r="HQ137" t="s">
        <v>6</v>
      </c>
      <c r="IK137">
        <v>0</v>
      </c>
    </row>
    <row r="138" spans="1:255">
      <c r="A138" s="2">
        <v>17</v>
      </c>
      <c r="B138" s="2">
        <v>1</v>
      </c>
      <c r="C138" s="2"/>
      <c r="D138" s="2"/>
      <c r="E138" s="2" t="s">
        <v>130</v>
      </c>
      <c r="F138" s="2" t="s">
        <v>131</v>
      </c>
      <c r="G138" s="2" t="s">
        <v>132</v>
      </c>
      <c r="H138" s="2" t="s">
        <v>125</v>
      </c>
      <c r="I138" s="2">
        <f>ROUND((1514.4*0.16)/100,9)</f>
        <v>2.4230399999999999</v>
      </c>
      <c r="J138" s="2">
        <v>0</v>
      </c>
      <c r="K138" s="2">
        <f>ROUND((1514.4*0.16)/100,9)</f>
        <v>2.4230399999999999</v>
      </c>
      <c r="L138" s="2"/>
      <c r="M138" s="2"/>
      <c r="N138" s="2"/>
      <c r="O138" s="2">
        <f t="shared" si="131"/>
        <v>7559.34</v>
      </c>
      <c r="P138" s="2">
        <f t="shared" si="132"/>
        <v>0</v>
      </c>
      <c r="Q138" s="2">
        <f t="shared" si="133"/>
        <v>5974.55</v>
      </c>
      <c r="R138" s="2">
        <f t="shared" si="134"/>
        <v>446.57</v>
      </c>
      <c r="S138" s="2">
        <f t="shared" si="135"/>
        <v>1584.79</v>
      </c>
      <c r="T138" s="2">
        <f t="shared" si="136"/>
        <v>0</v>
      </c>
      <c r="U138" s="2">
        <f t="shared" si="137"/>
        <v>125.57768255999999</v>
      </c>
      <c r="V138" s="2">
        <f t="shared" si="138"/>
        <v>0</v>
      </c>
      <c r="W138" s="2">
        <f t="shared" si="139"/>
        <v>0</v>
      </c>
      <c r="X138" s="2">
        <f t="shared" si="140"/>
        <v>1267.83</v>
      </c>
      <c r="Y138" s="2">
        <f t="shared" si="140"/>
        <v>871.63</v>
      </c>
      <c r="Z138" s="2"/>
      <c r="AA138" s="2">
        <v>70322058</v>
      </c>
      <c r="AB138" s="2">
        <f t="shared" si="141"/>
        <v>2979.73</v>
      </c>
      <c r="AC138" s="2">
        <f t="shared" si="142"/>
        <v>0</v>
      </c>
      <c r="AD138" s="2">
        <f t="shared" si="143"/>
        <v>2355.04</v>
      </c>
      <c r="AE138" s="2">
        <f t="shared" si="144"/>
        <v>176.03</v>
      </c>
      <c r="AF138" s="2">
        <f t="shared" si="144"/>
        <v>624.69000000000005</v>
      </c>
      <c r="AG138" s="2">
        <f t="shared" si="145"/>
        <v>0</v>
      </c>
      <c r="AH138" s="2">
        <f t="shared" si="146"/>
        <v>49.5</v>
      </c>
      <c r="AI138" s="2">
        <f t="shared" si="146"/>
        <v>0</v>
      </c>
      <c r="AJ138" s="2">
        <f t="shared" si="147"/>
        <v>0</v>
      </c>
      <c r="AK138" s="2">
        <v>2979.73</v>
      </c>
      <c r="AL138" s="2">
        <v>0</v>
      </c>
      <c r="AM138" s="2">
        <v>2355.04</v>
      </c>
      <c r="AN138" s="2">
        <v>176.03</v>
      </c>
      <c r="AO138" s="2">
        <v>624.69000000000005</v>
      </c>
      <c r="AP138" s="2">
        <v>0</v>
      </c>
      <c r="AQ138" s="2">
        <v>49.5</v>
      </c>
      <c r="AR138" s="2">
        <v>0</v>
      </c>
      <c r="AS138" s="2">
        <v>0</v>
      </c>
      <c r="AT138" s="2">
        <v>80</v>
      </c>
      <c r="AU138" s="2">
        <v>55</v>
      </c>
      <c r="AV138" s="2">
        <v>1.0469999999999999</v>
      </c>
      <c r="AW138" s="2">
        <v>1</v>
      </c>
      <c r="AX138" s="2"/>
      <c r="AY138" s="2"/>
      <c r="AZ138" s="2">
        <v>1</v>
      </c>
      <c r="BA138" s="2">
        <v>1</v>
      </c>
      <c r="BB138" s="2">
        <v>1</v>
      </c>
      <c r="BC138" s="2">
        <v>1</v>
      </c>
      <c r="BD138" s="2" t="s">
        <v>6</v>
      </c>
      <c r="BE138" s="2" t="s">
        <v>6</v>
      </c>
      <c r="BF138" s="2" t="s">
        <v>6</v>
      </c>
      <c r="BG138" s="2" t="s">
        <v>6</v>
      </c>
      <c r="BH138" s="2">
        <v>0</v>
      </c>
      <c r="BI138" s="2">
        <v>1</v>
      </c>
      <c r="BJ138" s="2" t="s">
        <v>133</v>
      </c>
      <c r="BK138" s="2"/>
      <c r="BL138" s="2"/>
      <c r="BM138" s="2">
        <v>674</v>
      </c>
      <c r="BN138" s="2">
        <v>0</v>
      </c>
      <c r="BO138" s="2" t="s">
        <v>6</v>
      </c>
      <c r="BP138" s="2">
        <v>0</v>
      </c>
      <c r="BQ138" s="2">
        <v>60</v>
      </c>
      <c r="BR138" s="2">
        <v>0</v>
      </c>
      <c r="BS138" s="2">
        <v>1</v>
      </c>
      <c r="BT138" s="2">
        <v>1</v>
      </c>
      <c r="BU138" s="2">
        <v>1</v>
      </c>
      <c r="BV138" s="2">
        <v>1</v>
      </c>
      <c r="BW138" s="2">
        <v>1</v>
      </c>
      <c r="BX138" s="2">
        <v>1</v>
      </c>
      <c r="BY138" s="2" t="s">
        <v>6</v>
      </c>
      <c r="BZ138" s="2">
        <v>80</v>
      </c>
      <c r="CA138" s="2">
        <v>55</v>
      </c>
      <c r="CB138" s="2" t="s">
        <v>6</v>
      </c>
      <c r="CC138" s="2"/>
      <c r="CD138" s="2"/>
      <c r="CE138" s="2">
        <v>30</v>
      </c>
      <c r="CF138" s="2">
        <v>0</v>
      </c>
      <c r="CG138" s="2">
        <v>0</v>
      </c>
      <c r="CH138" s="2"/>
      <c r="CI138" s="2"/>
      <c r="CJ138" s="2"/>
      <c r="CK138" s="2"/>
      <c r="CL138" s="2"/>
      <c r="CM138" s="2">
        <v>0</v>
      </c>
      <c r="CN138" s="2" t="s">
        <v>6</v>
      </c>
      <c r="CO138" s="2">
        <v>0</v>
      </c>
      <c r="CP138" s="2">
        <f t="shared" si="148"/>
        <v>7559.34</v>
      </c>
      <c r="CQ138" s="2">
        <f t="shared" si="149"/>
        <v>0</v>
      </c>
      <c r="CR138" s="2">
        <f t="shared" si="150"/>
        <v>2465.73</v>
      </c>
      <c r="CS138" s="2">
        <f t="shared" si="151"/>
        <v>184.3</v>
      </c>
      <c r="CT138" s="2">
        <f t="shared" si="152"/>
        <v>654.04999999999995</v>
      </c>
      <c r="CU138" s="2">
        <f t="shared" si="153"/>
        <v>0</v>
      </c>
      <c r="CV138" s="2">
        <f t="shared" si="154"/>
        <v>51.826499999999996</v>
      </c>
      <c r="CW138" s="2">
        <f t="shared" si="155"/>
        <v>0</v>
      </c>
      <c r="CX138" s="2">
        <f t="shared" si="155"/>
        <v>0</v>
      </c>
      <c r="CY138" s="2">
        <f>((S138*BZ138)/100)</f>
        <v>1267.8319999999999</v>
      </c>
      <c r="CZ138" s="2">
        <f>((S138*CA138)/100)</f>
        <v>871.6345</v>
      </c>
      <c r="DA138" s="2"/>
      <c r="DB138" s="2"/>
      <c r="DC138" s="2" t="s">
        <v>6</v>
      </c>
      <c r="DD138" s="2" t="s">
        <v>6</v>
      </c>
      <c r="DE138" s="2" t="s">
        <v>6</v>
      </c>
      <c r="DF138" s="2" t="s">
        <v>6</v>
      </c>
      <c r="DG138" s="2" t="s">
        <v>6</v>
      </c>
      <c r="DH138" s="2" t="s">
        <v>6</v>
      </c>
      <c r="DI138" s="2" t="s">
        <v>6</v>
      </c>
      <c r="DJ138" s="2" t="s">
        <v>6</v>
      </c>
      <c r="DK138" s="2" t="s">
        <v>6</v>
      </c>
      <c r="DL138" s="2" t="s">
        <v>6</v>
      </c>
      <c r="DM138" s="2" t="s">
        <v>6</v>
      </c>
      <c r="DN138" s="2">
        <v>0</v>
      </c>
      <c r="DO138" s="2">
        <v>0</v>
      </c>
      <c r="DP138" s="2">
        <v>1</v>
      </c>
      <c r="DQ138" s="2">
        <v>1</v>
      </c>
      <c r="DR138" s="2"/>
      <c r="DS138" s="2"/>
      <c r="DT138" s="2"/>
      <c r="DU138" s="2">
        <v>1007</v>
      </c>
      <c r="DV138" s="2" t="s">
        <v>125</v>
      </c>
      <c r="DW138" s="2" t="s">
        <v>125</v>
      </c>
      <c r="DX138" s="2">
        <v>100</v>
      </c>
      <c r="DY138" s="2"/>
      <c r="DZ138" s="2" t="s">
        <v>6</v>
      </c>
      <c r="EA138" s="2" t="s">
        <v>6</v>
      </c>
      <c r="EB138" s="2" t="s">
        <v>6</v>
      </c>
      <c r="EC138" s="2" t="s">
        <v>6</v>
      </c>
      <c r="ED138" s="2"/>
      <c r="EE138" s="2">
        <v>69253299</v>
      </c>
      <c r="EF138" s="2">
        <v>60</v>
      </c>
      <c r="EG138" s="2" t="s">
        <v>127</v>
      </c>
      <c r="EH138" s="2">
        <v>0</v>
      </c>
      <c r="EI138" s="2" t="s">
        <v>6</v>
      </c>
      <c r="EJ138" s="2">
        <v>1</v>
      </c>
      <c r="EK138" s="2">
        <v>674</v>
      </c>
      <c r="EL138" s="2" t="s">
        <v>128</v>
      </c>
      <c r="EM138" s="2" t="s">
        <v>129</v>
      </c>
      <c r="EN138" s="2"/>
      <c r="EO138" s="2" t="s">
        <v>6</v>
      </c>
      <c r="EP138" s="2"/>
      <c r="EQ138" s="2">
        <v>0</v>
      </c>
      <c r="ER138" s="2">
        <v>2979.73</v>
      </c>
      <c r="ES138" s="2">
        <v>0</v>
      </c>
      <c r="ET138" s="2">
        <v>2355.04</v>
      </c>
      <c r="EU138" s="2">
        <v>176.03</v>
      </c>
      <c r="EV138" s="2">
        <v>624.69000000000005</v>
      </c>
      <c r="EW138" s="2">
        <v>49.5</v>
      </c>
      <c r="EX138" s="2">
        <v>0</v>
      </c>
      <c r="EY138" s="2">
        <v>0</v>
      </c>
      <c r="EZ138" s="2"/>
      <c r="FA138" s="2"/>
      <c r="FB138" s="2"/>
      <c r="FC138" s="2"/>
      <c r="FD138" s="2"/>
      <c r="FE138" s="2"/>
      <c r="FF138" s="2"/>
      <c r="FG138" s="2"/>
      <c r="FH138" s="2"/>
      <c r="FI138" s="2"/>
      <c r="FJ138" s="2"/>
      <c r="FK138" s="2"/>
      <c r="FL138" s="2"/>
      <c r="FM138" s="2"/>
      <c r="FN138" s="2"/>
      <c r="FO138" s="2"/>
      <c r="FP138" s="2"/>
      <c r="FQ138" s="2">
        <v>0</v>
      </c>
      <c r="FR138" s="2">
        <f t="shared" si="156"/>
        <v>0</v>
      </c>
      <c r="FS138" s="2">
        <v>0</v>
      </c>
      <c r="FT138" s="2"/>
      <c r="FU138" s="2"/>
      <c r="FV138" s="2"/>
      <c r="FW138" s="2"/>
      <c r="FX138" s="2">
        <v>80</v>
      </c>
      <c r="FY138" s="2">
        <v>55</v>
      </c>
      <c r="FZ138" s="2"/>
      <c r="GA138" s="2" t="s">
        <v>6</v>
      </c>
      <c r="GB138" s="2"/>
      <c r="GC138" s="2"/>
      <c r="GD138" s="2">
        <v>0</v>
      </c>
      <c r="GE138" s="2"/>
      <c r="GF138" s="2">
        <v>-1471969619</v>
      </c>
      <c r="GG138" s="2">
        <v>2</v>
      </c>
      <c r="GH138" s="2">
        <v>1</v>
      </c>
      <c r="GI138" s="2">
        <v>-2</v>
      </c>
      <c r="GJ138" s="2">
        <v>0</v>
      </c>
      <c r="GK138" s="2">
        <f>ROUND(R138*(R12)/100,2)</f>
        <v>781.5</v>
      </c>
      <c r="GL138" s="2">
        <f t="shared" si="157"/>
        <v>0</v>
      </c>
      <c r="GM138" s="2">
        <f t="shared" si="158"/>
        <v>10480.299999999999</v>
      </c>
      <c r="GN138" s="2">
        <f t="shared" si="159"/>
        <v>10480.299999999999</v>
      </c>
      <c r="GO138" s="2">
        <f t="shared" si="160"/>
        <v>0</v>
      </c>
      <c r="GP138" s="2">
        <f t="shared" si="161"/>
        <v>0</v>
      </c>
      <c r="GQ138" s="2"/>
      <c r="GR138" s="2">
        <v>0</v>
      </c>
      <c r="GS138" s="2">
        <v>3</v>
      </c>
      <c r="GT138" s="2">
        <v>0</v>
      </c>
      <c r="GU138" s="2" t="s">
        <v>6</v>
      </c>
      <c r="GV138" s="2">
        <f t="shared" si="162"/>
        <v>0</v>
      </c>
      <c r="GW138" s="2">
        <v>1</v>
      </c>
      <c r="GX138" s="2">
        <f t="shared" si="163"/>
        <v>0</v>
      </c>
      <c r="GY138" s="2"/>
      <c r="GZ138" s="2"/>
      <c r="HA138" s="2">
        <v>0</v>
      </c>
      <c r="HB138" s="2">
        <v>0</v>
      </c>
      <c r="HC138" s="2">
        <f t="shared" si="164"/>
        <v>0</v>
      </c>
      <c r="HD138" s="2"/>
      <c r="HE138" s="2" t="s">
        <v>6</v>
      </c>
      <c r="HF138" s="2" t="s">
        <v>6</v>
      </c>
      <c r="HG138" s="2"/>
      <c r="HH138" s="2"/>
      <c r="HI138" s="2"/>
      <c r="HJ138" s="2"/>
      <c r="HK138" s="2"/>
      <c r="HL138" s="2"/>
      <c r="HM138" s="2" t="s">
        <v>6</v>
      </c>
      <c r="HN138" s="2" t="s">
        <v>6</v>
      </c>
      <c r="HO138" s="2" t="s">
        <v>6</v>
      </c>
      <c r="HP138" s="2" t="s">
        <v>6</v>
      </c>
      <c r="HQ138" s="2" t="s">
        <v>6</v>
      </c>
      <c r="HR138" s="2"/>
      <c r="HS138" s="2"/>
      <c r="HT138" s="2"/>
      <c r="HU138" s="2"/>
      <c r="HV138" s="2"/>
      <c r="HW138" s="2"/>
      <c r="HX138" s="2"/>
      <c r="HY138" s="2"/>
      <c r="HZ138" s="2"/>
      <c r="IA138" s="2"/>
      <c r="IB138" s="2"/>
      <c r="IC138" s="2"/>
      <c r="ID138" s="2"/>
      <c r="IE138" s="2"/>
      <c r="IF138" s="2"/>
      <c r="IG138" s="2"/>
      <c r="IH138" s="2"/>
      <c r="II138" s="2"/>
      <c r="IJ138" s="2"/>
      <c r="IK138" s="2">
        <v>0</v>
      </c>
      <c r="IL138" s="2"/>
      <c r="IM138" s="2"/>
      <c r="IN138" s="2"/>
      <c r="IO138" s="2"/>
      <c r="IP138" s="2"/>
      <c r="IQ138" s="2"/>
      <c r="IR138" s="2"/>
      <c r="IS138" s="2"/>
      <c r="IT138" s="2"/>
      <c r="IU138" s="2"/>
    </row>
    <row r="139" spans="1:255">
      <c r="A139">
        <v>17</v>
      </c>
      <c r="B139">
        <v>1</v>
      </c>
      <c r="E139" t="s">
        <v>130</v>
      </c>
      <c r="F139" t="s">
        <v>131</v>
      </c>
      <c r="G139" t="s">
        <v>132</v>
      </c>
      <c r="H139" t="s">
        <v>125</v>
      </c>
      <c r="I139">
        <f>ROUND((1514.4*0.16)/100,9)</f>
        <v>2.4230399999999999</v>
      </c>
      <c r="J139">
        <v>0</v>
      </c>
      <c r="K139">
        <f>ROUND((1514.4*0.16)/100,9)</f>
        <v>2.4230399999999999</v>
      </c>
      <c r="O139">
        <f t="shared" si="131"/>
        <v>149779.19</v>
      </c>
      <c r="P139">
        <f t="shared" si="132"/>
        <v>0</v>
      </c>
      <c r="Q139">
        <f t="shared" si="133"/>
        <v>75817.039999999994</v>
      </c>
      <c r="R139">
        <f t="shared" si="134"/>
        <v>20841.419999999998</v>
      </c>
      <c r="S139">
        <f t="shared" si="135"/>
        <v>73962.149999999994</v>
      </c>
      <c r="T139">
        <f t="shared" si="136"/>
        <v>0</v>
      </c>
      <c r="U139">
        <f t="shared" si="137"/>
        <v>125.57768255999999</v>
      </c>
      <c r="V139">
        <f t="shared" si="138"/>
        <v>0</v>
      </c>
      <c r="W139">
        <f t="shared" si="139"/>
        <v>0</v>
      </c>
      <c r="X139">
        <f t="shared" si="140"/>
        <v>51773.51</v>
      </c>
      <c r="Y139">
        <f t="shared" si="140"/>
        <v>30324.48</v>
      </c>
      <c r="AA139">
        <v>70322059</v>
      </c>
      <c r="AB139">
        <f t="shared" si="141"/>
        <v>2979.73</v>
      </c>
      <c r="AC139">
        <f t="shared" si="142"/>
        <v>0</v>
      </c>
      <c r="AD139">
        <f t="shared" si="143"/>
        <v>2355.04</v>
      </c>
      <c r="AE139">
        <f t="shared" si="144"/>
        <v>176.03</v>
      </c>
      <c r="AF139">
        <f t="shared" si="144"/>
        <v>624.69000000000005</v>
      </c>
      <c r="AG139">
        <f t="shared" si="145"/>
        <v>0</v>
      </c>
      <c r="AH139">
        <f t="shared" si="146"/>
        <v>49.5</v>
      </c>
      <c r="AI139">
        <f t="shared" si="146"/>
        <v>0</v>
      </c>
      <c r="AJ139">
        <f t="shared" si="147"/>
        <v>0</v>
      </c>
      <c r="AK139">
        <v>2979.73</v>
      </c>
      <c r="AL139">
        <v>0</v>
      </c>
      <c r="AM139">
        <v>2355.04</v>
      </c>
      <c r="AN139">
        <v>176.03</v>
      </c>
      <c r="AO139">
        <v>624.69000000000005</v>
      </c>
      <c r="AP139">
        <v>0</v>
      </c>
      <c r="AQ139">
        <v>49.5</v>
      </c>
      <c r="AR139">
        <v>0</v>
      </c>
      <c r="AS139">
        <v>0</v>
      </c>
      <c r="AT139">
        <v>70</v>
      </c>
      <c r="AU139">
        <v>41</v>
      </c>
      <c r="AV139">
        <v>1.0469999999999999</v>
      </c>
      <c r="AW139">
        <v>1</v>
      </c>
      <c r="AZ139">
        <v>1</v>
      </c>
      <c r="BA139">
        <v>46.67</v>
      </c>
      <c r="BB139">
        <v>12.69</v>
      </c>
      <c r="BC139">
        <v>1</v>
      </c>
      <c r="BD139" t="s">
        <v>6</v>
      </c>
      <c r="BE139" t="s">
        <v>6</v>
      </c>
      <c r="BF139" t="s">
        <v>6</v>
      </c>
      <c r="BG139" t="s">
        <v>6</v>
      </c>
      <c r="BH139">
        <v>0</v>
      </c>
      <c r="BI139">
        <v>1</v>
      </c>
      <c r="BJ139" t="s">
        <v>133</v>
      </c>
      <c r="BM139">
        <v>674</v>
      </c>
      <c r="BN139">
        <v>0</v>
      </c>
      <c r="BO139" t="s">
        <v>131</v>
      </c>
      <c r="BP139">
        <v>1</v>
      </c>
      <c r="BQ139">
        <v>60</v>
      </c>
      <c r="BR139">
        <v>0</v>
      </c>
      <c r="BS139">
        <v>46.67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6</v>
      </c>
      <c r="BZ139">
        <v>70</v>
      </c>
      <c r="CA139">
        <v>41</v>
      </c>
      <c r="CB139" t="s">
        <v>6</v>
      </c>
      <c r="CE139">
        <v>30</v>
      </c>
      <c r="CF139">
        <v>0</v>
      </c>
      <c r="CG139">
        <v>0</v>
      </c>
      <c r="CM139">
        <v>0</v>
      </c>
      <c r="CN139" t="s">
        <v>6</v>
      </c>
      <c r="CO139">
        <v>0</v>
      </c>
      <c r="CP139">
        <f t="shared" si="148"/>
        <v>149779.19</v>
      </c>
      <c r="CQ139">
        <f t="shared" si="149"/>
        <v>0</v>
      </c>
      <c r="CR139">
        <f t="shared" si="150"/>
        <v>31290.11</v>
      </c>
      <c r="CS139">
        <f t="shared" si="151"/>
        <v>8601.2800000000007</v>
      </c>
      <c r="CT139">
        <f t="shared" si="152"/>
        <v>30524.51</v>
      </c>
      <c r="CU139">
        <f t="shared" si="153"/>
        <v>0</v>
      </c>
      <c r="CV139">
        <f t="shared" si="154"/>
        <v>51.826499999999996</v>
      </c>
      <c r="CW139">
        <f t="shared" si="155"/>
        <v>0</v>
      </c>
      <c r="CX139">
        <f t="shared" si="155"/>
        <v>0</v>
      </c>
      <c r="CY139">
        <f>S139*(BZ139/100)</f>
        <v>51773.50499999999</v>
      </c>
      <c r="CZ139">
        <f>S139*(CA139/100)</f>
        <v>30324.481499999994</v>
      </c>
      <c r="DC139" t="s">
        <v>6</v>
      </c>
      <c r="DD139" t="s">
        <v>6</v>
      </c>
      <c r="DE139" t="s">
        <v>6</v>
      </c>
      <c r="DF139" t="s">
        <v>6</v>
      </c>
      <c r="DG139" t="s">
        <v>6</v>
      </c>
      <c r="DH139" t="s">
        <v>6</v>
      </c>
      <c r="DI139" t="s">
        <v>6</v>
      </c>
      <c r="DJ139" t="s">
        <v>6</v>
      </c>
      <c r="DK139" t="s">
        <v>6</v>
      </c>
      <c r="DL139" t="s">
        <v>6</v>
      </c>
      <c r="DM139" t="s">
        <v>6</v>
      </c>
      <c r="DN139">
        <v>80</v>
      </c>
      <c r="DO139">
        <v>55</v>
      </c>
      <c r="DP139">
        <v>1.0469999999999999</v>
      </c>
      <c r="DQ139">
        <v>1</v>
      </c>
      <c r="DU139">
        <v>1007</v>
      </c>
      <c r="DV139" t="s">
        <v>125</v>
      </c>
      <c r="DW139" t="s">
        <v>125</v>
      </c>
      <c r="DX139">
        <v>100</v>
      </c>
      <c r="DZ139" t="s">
        <v>6</v>
      </c>
      <c r="EA139" t="s">
        <v>6</v>
      </c>
      <c r="EB139" t="s">
        <v>6</v>
      </c>
      <c r="EC139" t="s">
        <v>6</v>
      </c>
      <c r="EE139">
        <v>69253299</v>
      </c>
      <c r="EF139">
        <v>60</v>
      </c>
      <c r="EG139" t="s">
        <v>127</v>
      </c>
      <c r="EH139">
        <v>0</v>
      </c>
      <c r="EI139" t="s">
        <v>6</v>
      </c>
      <c r="EJ139">
        <v>1</v>
      </c>
      <c r="EK139">
        <v>674</v>
      </c>
      <c r="EL139" t="s">
        <v>128</v>
      </c>
      <c r="EM139" t="s">
        <v>129</v>
      </c>
      <c r="EO139" t="s">
        <v>6</v>
      </c>
      <c r="EQ139">
        <v>0</v>
      </c>
      <c r="ER139">
        <v>2979.73</v>
      </c>
      <c r="ES139">
        <v>0</v>
      </c>
      <c r="ET139">
        <v>2355.04</v>
      </c>
      <c r="EU139">
        <v>176.03</v>
      </c>
      <c r="EV139">
        <v>624.69000000000005</v>
      </c>
      <c r="EW139">
        <v>49.5</v>
      </c>
      <c r="EX139">
        <v>0</v>
      </c>
      <c r="EY139">
        <v>0</v>
      </c>
      <c r="FQ139">
        <v>0</v>
      </c>
      <c r="FR139">
        <f t="shared" si="156"/>
        <v>0</v>
      </c>
      <c r="FS139">
        <v>0</v>
      </c>
      <c r="FX139">
        <v>80</v>
      </c>
      <c r="FY139">
        <v>55</v>
      </c>
      <c r="GA139" t="s">
        <v>6</v>
      </c>
      <c r="GD139">
        <v>0</v>
      </c>
      <c r="GF139">
        <v>-1471969619</v>
      </c>
      <c r="GG139">
        <v>2</v>
      </c>
      <c r="GH139">
        <v>1</v>
      </c>
      <c r="GI139">
        <v>2</v>
      </c>
      <c r="GJ139">
        <v>0</v>
      </c>
      <c r="GK139">
        <f>ROUND(R139*(S12)/100,2)</f>
        <v>33346.269999999997</v>
      </c>
      <c r="GL139">
        <f t="shared" si="157"/>
        <v>0</v>
      </c>
      <c r="GM139">
        <f t="shared" si="158"/>
        <v>265223.45</v>
      </c>
      <c r="GN139">
        <f t="shared" si="159"/>
        <v>265223.45</v>
      </c>
      <c r="GO139">
        <f t="shared" si="160"/>
        <v>0</v>
      </c>
      <c r="GP139">
        <f t="shared" si="161"/>
        <v>0</v>
      </c>
      <c r="GR139">
        <v>0</v>
      </c>
      <c r="GS139">
        <v>0</v>
      </c>
      <c r="GT139">
        <v>0</v>
      </c>
      <c r="GU139" t="s">
        <v>6</v>
      </c>
      <c r="GV139">
        <f t="shared" si="162"/>
        <v>0</v>
      </c>
      <c r="GW139">
        <v>1</v>
      </c>
      <c r="GX139">
        <f t="shared" si="163"/>
        <v>0</v>
      </c>
      <c r="HA139">
        <v>0</v>
      </c>
      <c r="HB139">
        <v>0</v>
      </c>
      <c r="HC139">
        <f t="shared" si="164"/>
        <v>0</v>
      </c>
      <c r="HE139" t="s">
        <v>6</v>
      </c>
      <c r="HF139" t="s">
        <v>6</v>
      </c>
      <c r="HM139" t="s">
        <v>6</v>
      </c>
      <c r="HN139" t="s">
        <v>6</v>
      </c>
      <c r="HO139" t="s">
        <v>6</v>
      </c>
      <c r="HP139" t="s">
        <v>6</v>
      </c>
      <c r="HQ139" t="s">
        <v>6</v>
      </c>
      <c r="IK139">
        <v>0</v>
      </c>
    </row>
    <row r="140" spans="1:255">
      <c r="A140" s="2">
        <v>17</v>
      </c>
      <c r="B140" s="2">
        <v>1</v>
      </c>
      <c r="C140" s="2"/>
      <c r="D140" s="2"/>
      <c r="E140" s="2" t="s">
        <v>134</v>
      </c>
      <c r="F140" s="2" t="s">
        <v>135</v>
      </c>
      <c r="G140" s="2" t="s">
        <v>136</v>
      </c>
      <c r="H140" s="2" t="s">
        <v>125</v>
      </c>
      <c r="I140" s="2">
        <f>ROUND((1514.4*0.15)/100,9)</f>
        <v>2.2715999999999998</v>
      </c>
      <c r="J140" s="2">
        <v>0</v>
      </c>
      <c r="K140" s="2">
        <f>ROUND((1514.4*0.15)/100,9)</f>
        <v>2.2715999999999998</v>
      </c>
      <c r="L140" s="2"/>
      <c r="M140" s="2"/>
      <c r="N140" s="2"/>
      <c r="O140" s="2">
        <f t="shared" si="131"/>
        <v>1611.59</v>
      </c>
      <c r="P140" s="2">
        <f t="shared" si="132"/>
        <v>0</v>
      </c>
      <c r="Q140" s="2">
        <f t="shared" si="133"/>
        <v>1349.18</v>
      </c>
      <c r="R140" s="2">
        <f t="shared" si="134"/>
        <v>136.97</v>
      </c>
      <c r="S140" s="2">
        <f t="shared" si="135"/>
        <v>262.41000000000003</v>
      </c>
      <c r="T140" s="2">
        <f t="shared" si="136"/>
        <v>0</v>
      </c>
      <c r="U140" s="2">
        <f t="shared" si="137"/>
        <v>27.826872839999993</v>
      </c>
      <c r="V140" s="2">
        <f t="shared" si="138"/>
        <v>0</v>
      </c>
      <c r="W140" s="2">
        <f t="shared" si="139"/>
        <v>0</v>
      </c>
      <c r="X140" s="2">
        <f t="shared" si="140"/>
        <v>209.93</v>
      </c>
      <c r="Y140" s="2">
        <f t="shared" si="140"/>
        <v>144.33000000000001</v>
      </c>
      <c r="Z140" s="2"/>
      <c r="AA140" s="2">
        <v>70322058</v>
      </c>
      <c r="AB140" s="2">
        <f t="shared" si="141"/>
        <v>677.6</v>
      </c>
      <c r="AC140" s="2">
        <f t="shared" si="142"/>
        <v>0</v>
      </c>
      <c r="AD140" s="2">
        <f t="shared" si="143"/>
        <v>567.27</v>
      </c>
      <c r="AE140" s="2">
        <f t="shared" si="144"/>
        <v>57.59</v>
      </c>
      <c r="AF140" s="2">
        <f t="shared" si="144"/>
        <v>110.33</v>
      </c>
      <c r="AG140" s="2">
        <f t="shared" si="145"/>
        <v>0</v>
      </c>
      <c r="AH140" s="2">
        <f t="shared" si="146"/>
        <v>11.7</v>
      </c>
      <c r="AI140" s="2">
        <f t="shared" si="146"/>
        <v>0</v>
      </c>
      <c r="AJ140" s="2">
        <f t="shared" si="147"/>
        <v>0</v>
      </c>
      <c r="AK140" s="2">
        <v>677.6</v>
      </c>
      <c r="AL140" s="2">
        <v>0</v>
      </c>
      <c r="AM140" s="2">
        <v>567.27</v>
      </c>
      <c r="AN140" s="2">
        <v>57.59</v>
      </c>
      <c r="AO140" s="2">
        <v>110.33</v>
      </c>
      <c r="AP140" s="2">
        <v>0</v>
      </c>
      <c r="AQ140" s="2">
        <v>11.7</v>
      </c>
      <c r="AR140" s="2">
        <v>0</v>
      </c>
      <c r="AS140" s="2">
        <v>0</v>
      </c>
      <c r="AT140" s="2">
        <v>80</v>
      </c>
      <c r="AU140" s="2">
        <v>55</v>
      </c>
      <c r="AV140" s="2">
        <v>1.0469999999999999</v>
      </c>
      <c r="AW140" s="2">
        <v>1</v>
      </c>
      <c r="AX140" s="2"/>
      <c r="AY140" s="2"/>
      <c r="AZ140" s="2">
        <v>1</v>
      </c>
      <c r="BA140" s="2">
        <v>1</v>
      </c>
      <c r="BB140" s="2">
        <v>1</v>
      </c>
      <c r="BC140" s="2">
        <v>1</v>
      </c>
      <c r="BD140" s="2" t="s">
        <v>6</v>
      </c>
      <c r="BE140" s="2" t="s">
        <v>6</v>
      </c>
      <c r="BF140" s="2" t="s">
        <v>6</v>
      </c>
      <c r="BG140" s="2" t="s">
        <v>6</v>
      </c>
      <c r="BH140" s="2">
        <v>0</v>
      </c>
      <c r="BI140" s="2">
        <v>1</v>
      </c>
      <c r="BJ140" s="2" t="s">
        <v>137</v>
      </c>
      <c r="BK140" s="2"/>
      <c r="BL140" s="2"/>
      <c r="BM140" s="2">
        <v>674</v>
      </c>
      <c r="BN140" s="2">
        <v>0</v>
      </c>
      <c r="BO140" s="2" t="s">
        <v>6</v>
      </c>
      <c r="BP140" s="2">
        <v>0</v>
      </c>
      <c r="BQ140" s="2">
        <v>60</v>
      </c>
      <c r="BR140" s="2">
        <v>0</v>
      </c>
      <c r="BS140" s="2">
        <v>1</v>
      </c>
      <c r="BT140" s="2">
        <v>1</v>
      </c>
      <c r="BU140" s="2">
        <v>1</v>
      </c>
      <c r="BV140" s="2">
        <v>1</v>
      </c>
      <c r="BW140" s="2">
        <v>1</v>
      </c>
      <c r="BX140" s="2">
        <v>1</v>
      </c>
      <c r="BY140" s="2" t="s">
        <v>6</v>
      </c>
      <c r="BZ140" s="2">
        <v>80</v>
      </c>
      <c r="CA140" s="2">
        <v>55</v>
      </c>
      <c r="CB140" s="2" t="s">
        <v>6</v>
      </c>
      <c r="CC140" s="2"/>
      <c r="CD140" s="2"/>
      <c r="CE140" s="2">
        <v>30</v>
      </c>
      <c r="CF140" s="2">
        <v>0</v>
      </c>
      <c r="CG140" s="2">
        <v>0</v>
      </c>
      <c r="CH140" s="2"/>
      <c r="CI140" s="2"/>
      <c r="CJ140" s="2"/>
      <c r="CK140" s="2"/>
      <c r="CL140" s="2"/>
      <c r="CM140" s="2">
        <v>0</v>
      </c>
      <c r="CN140" s="2" t="s">
        <v>6</v>
      </c>
      <c r="CO140" s="2">
        <v>0</v>
      </c>
      <c r="CP140" s="2">
        <f t="shared" si="148"/>
        <v>1611.5900000000001</v>
      </c>
      <c r="CQ140" s="2">
        <f t="shared" si="149"/>
        <v>0</v>
      </c>
      <c r="CR140" s="2">
        <f t="shared" si="150"/>
        <v>593.92999999999995</v>
      </c>
      <c r="CS140" s="2">
        <f t="shared" si="151"/>
        <v>60.3</v>
      </c>
      <c r="CT140" s="2">
        <f t="shared" si="152"/>
        <v>115.52</v>
      </c>
      <c r="CU140" s="2">
        <f t="shared" si="153"/>
        <v>0</v>
      </c>
      <c r="CV140" s="2">
        <f t="shared" si="154"/>
        <v>12.249899999999998</v>
      </c>
      <c r="CW140" s="2">
        <f t="shared" si="155"/>
        <v>0</v>
      </c>
      <c r="CX140" s="2">
        <f t="shared" si="155"/>
        <v>0</v>
      </c>
      <c r="CY140" s="2">
        <f>((S140*BZ140)/100)</f>
        <v>209.92800000000003</v>
      </c>
      <c r="CZ140" s="2">
        <f>((S140*CA140)/100)</f>
        <v>144.32550000000001</v>
      </c>
      <c r="DA140" s="2"/>
      <c r="DB140" s="2"/>
      <c r="DC140" s="2" t="s">
        <v>6</v>
      </c>
      <c r="DD140" s="2" t="s">
        <v>6</v>
      </c>
      <c r="DE140" s="2" t="s">
        <v>6</v>
      </c>
      <c r="DF140" s="2" t="s">
        <v>6</v>
      </c>
      <c r="DG140" s="2" t="s">
        <v>6</v>
      </c>
      <c r="DH140" s="2" t="s">
        <v>6</v>
      </c>
      <c r="DI140" s="2" t="s">
        <v>6</v>
      </c>
      <c r="DJ140" s="2" t="s">
        <v>6</v>
      </c>
      <c r="DK140" s="2" t="s">
        <v>6</v>
      </c>
      <c r="DL140" s="2" t="s">
        <v>6</v>
      </c>
      <c r="DM140" s="2" t="s">
        <v>6</v>
      </c>
      <c r="DN140" s="2">
        <v>0</v>
      </c>
      <c r="DO140" s="2">
        <v>0</v>
      </c>
      <c r="DP140" s="2">
        <v>1</v>
      </c>
      <c r="DQ140" s="2">
        <v>1</v>
      </c>
      <c r="DR140" s="2"/>
      <c r="DS140" s="2"/>
      <c r="DT140" s="2"/>
      <c r="DU140" s="2">
        <v>1007</v>
      </c>
      <c r="DV140" s="2" t="s">
        <v>125</v>
      </c>
      <c r="DW140" s="2" t="s">
        <v>125</v>
      </c>
      <c r="DX140" s="2">
        <v>100</v>
      </c>
      <c r="DY140" s="2"/>
      <c r="DZ140" s="2" t="s">
        <v>6</v>
      </c>
      <c r="EA140" s="2" t="s">
        <v>6</v>
      </c>
      <c r="EB140" s="2" t="s">
        <v>6</v>
      </c>
      <c r="EC140" s="2" t="s">
        <v>6</v>
      </c>
      <c r="ED140" s="2"/>
      <c r="EE140" s="2">
        <v>69253299</v>
      </c>
      <c r="EF140" s="2">
        <v>60</v>
      </c>
      <c r="EG140" s="2" t="s">
        <v>127</v>
      </c>
      <c r="EH140" s="2">
        <v>0</v>
      </c>
      <c r="EI140" s="2" t="s">
        <v>6</v>
      </c>
      <c r="EJ140" s="2">
        <v>1</v>
      </c>
      <c r="EK140" s="2">
        <v>674</v>
      </c>
      <c r="EL140" s="2" t="s">
        <v>128</v>
      </c>
      <c r="EM140" s="2" t="s">
        <v>129</v>
      </c>
      <c r="EN140" s="2"/>
      <c r="EO140" s="2" t="s">
        <v>6</v>
      </c>
      <c r="EP140" s="2"/>
      <c r="EQ140" s="2">
        <v>0</v>
      </c>
      <c r="ER140" s="2">
        <v>677.6</v>
      </c>
      <c r="ES140" s="2">
        <v>0</v>
      </c>
      <c r="ET140" s="2">
        <v>567.27</v>
      </c>
      <c r="EU140" s="2">
        <v>57.59</v>
      </c>
      <c r="EV140" s="2">
        <v>110.33</v>
      </c>
      <c r="EW140" s="2">
        <v>11.7</v>
      </c>
      <c r="EX140" s="2">
        <v>0</v>
      </c>
      <c r="EY140" s="2">
        <v>0</v>
      </c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>
        <v>0</v>
      </c>
      <c r="FR140" s="2">
        <f t="shared" si="156"/>
        <v>0</v>
      </c>
      <c r="FS140" s="2">
        <v>0</v>
      </c>
      <c r="FT140" s="2"/>
      <c r="FU140" s="2"/>
      <c r="FV140" s="2"/>
      <c r="FW140" s="2"/>
      <c r="FX140" s="2">
        <v>80</v>
      </c>
      <c r="FY140" s="2">
        <v>55</v>
      </c>
      <c r="FZ140" s="2"/>
      <c r="GA140" s="2" t="s">
        <v>6</v>
      </c>
      <c r="GB140" s="2"/>
      <c r="GC140" s="2"/>
      <c r="GD140" s="2">
        <v>0</v>
      </c>
      <c r="GE140" s="2"/>
      <c r="GF140" s="2">
        <v>-1905228297</v>
      </c>
      <c r="GG140" s="2">
        <v>2</v>
      </c>
      <c r="GH140" s="2">
        <v>1</v>
      </c>
      <c r="GI140" s="2">
        <v>-2</v>
      </c>
      <c r="GJ140" s="2">
        <v>0</v>
      </c>
      <c r="GK140" s="2">
        <f>ROUND(R140*(R12)/100,2)</f>
        <v>239.7</v>
      </c>
      <c r="GL140" s="2">
        <f t="shared" si="157"/>
        <v>0</v>
      </c>
      <c r="GM140" s="2">
        <f t="shared" si="158"/>
        <v>2205.5500000000002</v>
      </c>
      <c r="GN140" s="2">
        <f t="shared" si="159"/>
        <v>2205.5500000000002</v>
      </c>
      <c r="GO140" s="2">
        <f t="shared" si="160"/>
        <v>0</v>
      </c>
      <c r="GP140" s="2">
        <f t="shared" si="161"/>
        <v>0</v>
      </c>
      <c r="GQ140" s="2"/>
      <c r="GR140" s="2">
        <v>0</v>
      </c>
      <c r="GS140" s="2">
        <v>3</v>
      </c>
      <c r="GT140" s="2">
        <v>0</v>
      </c>
      <c r="GU140" s="2" t="s">
        <v>6</v>
      </c>
      <c r="GV140" s="2">
        <f t="shared" si="162"/>
        <v>0</v>
      </c>
      <c r="GW140" s="2">
        <v>1</v>
      </c>
      <c r="GX140" s="2">
        <f t="shared" si="163"/>
        <v>0</v>
      </c>
      <c r="GY140" s="2"/>
      <c r="GZ140" s="2"/>
      <c r="HA140" s="2">
        <v>0</v>
      </c>
      <c r="HB140" s="2">
        <v>0</v>
      </c>
      <c r="HC140" s="2">
        <f t="shared" si="164"/>
        <v>0</v>
      </c>
      <c r="HD140" s="2"/>
      <c r="HE140" s="2" t="s">
        <v>6</v>
      </c>
      <c r="HF140" s="2" t="s">
        <v>6</v>
      </c>
      <c r="HG140" s="2"/>
      <c r="HH140" s="2"/>
      <c r="HI140" s="2"/>
      <c r="HJ140" s="2"/>
      <c r="HK140" s="2"/>
      <c r="HL140" s="2"/>
      <c r="HM140" s="2" t="s">
        <v>6</v>
      </c>
      <c r="HN140" s="2" t="s">
        <v>6</v>
      </c>
      <c r="HO140" s="2" t="s">
        <v>6</v>
      </c>
      <c r="HP140" s="2" t="s">
        <v>6</v>
      </c>
      <c r="HQ140" s="2" t="s">
        <v>6</v>
      </c>
      <c r="HR140" s="2"/>
      <c r="HS140" s="2"/>
      <c r="HT140" s="2"/>
      <c r="HU140" s="2"/>
      <c r="HV140" s="2"/>
      <c r="HW140" s="2"/>
      <c r="HX140" s="2"/>
      <c r="HY140" s="2"/>
      <c r="HZ140" s="2"/>
      <c r="IA140" s="2"/>
      <c r="IB140" s="2"/>
      <c r="IC140" s="2"/>
      <c r="ID140" s="2"/>
      <c r="IE140" s="2"/>
      <c r="IF140" s="2"/>
      <c r="IG140" s="2"/>
      <c r="IH140" s="2"/>
      <c r="II140" s="2"/>
      <c r="IJ140" s="2"/>
      <c r="IK140" s="2">
        <v>0</v>
      </c>
      <c r="IL140" s="2"/>
      <c r="IM140" s="2"/>
      <c r="IN140" s="2"/>
      <c r="IO140" s="2"/>
      <c r="IP140" s="2"/>
      <c r="IQ140" s="2"/>
      <c r="IR140" s="2"/>
      <c r="IS140" s="2"/>
      <c r="IT140" s="2"/>
      <c r="IU140" s="2"/>
    </row>
    <row r="141" spans="1:255">
      <c r="A141">
        <v>17</v>
      </c>
      <c r="B141">
        <v>1</v>
      </c>
      <c r="E141" t="s">
        <v>134</v>
      </c>
      <c r="F141" t="s">
        <v>135</v>
      </c>
      <c r="G141" t="s">
        <v>136</v>
      </c>
      <c r="H141" t="s">
        <v>125</v>
      </c>
      <c r="I141">
        <f>ROUND((1514.4*0.15)/100,9)</f>
        <v>2.2715999999999998</v>
      </c>
      <c r="J141">
        <v>0</v>
      </c>
      <c r="K141">
        <f>ROUND((1514.4*0.15)/100,9)</f>
        <v>2.2715999999999998</v>
      </c>
      <c r="O141">
        <f t="shared" si="131"/>
        <v>30986.78</v>
      </c>
      <c r="P141">
        <f t="shared" si="132"/>
        <v>0</v>
      </c>
      <c r="Q141">
        <f t="shared" si="133"/>
        <v>18740.11</v>
      </c>
      <c r="R141">
        <f t="shared" si="134"/>
        <v>6392.39</v>
      </c>
      <c r="S141">
        <f t="shared" si="135"/>
        <v>12246.67</v>
      </c>
      <c r="T141">
        <f t="shared" si="136"/>
        <v>0</v>
      </c>
      <c r="U141">
        <f t="shared" si="137"/>
        <v>27.826872839999993</v>
      </c>
      <c r="V141">
        <f t="shared" si="138"/>
        <v>0</v>
      </c>
      <c r="W141">
        <f t="shared" si="139"/>
        <v>0</v>
      </c>
      <c r="X141">
        <f t="shared" si="140"/>
        <v>8572.67</v>
      </c>
      <c r="Y141">
        <f t="shared" si="140"/>
        <v>5021.13</v>
      </c>
      <c r="AA141">
        <v>70322059</v>
      </c>
      <c r="AB141">
        <f t="shared" si="141"/>
        <v>677.6</v>
      </c>
      <c r="AC141">
        <f t="shared" si="142"/>
        <v>0</v>
      </c>
      <c r="AD141">
        <f t="shared" si="143"/>
        <v>567.27</v>
      </c>
      <c r="AE141">
        <f t="shared" si="144"/>
        <v>57.59</v>
      </c>
      <c r="AF141">
        <f t="shared" si="144"/>
        <v>110.33</v>
      </c>
      <c r="AG141">
        <f t="shared" si="145"/>
        <v>0</v>
      </c>
      <c r="AH141">
        <f t="shared" si="146"/>
        <v>11.7</v>
      </c>
      <c r="AI141">
        <f t="shared" si="146"/>
        <v>0</v>
      </c>
      <c r="AJ141">
        <f t="shared" si="147"/>
        <v>0</v>
      </c>
      <c r="AK141">
        <v>677.6</v>
      </c>
      <c r="AL141">
        <v>0</v>
      </c>
      <c r="AM141">
        <v>567.27</v>
      </c>
      <c r="AN141">
        <v>57.59</v>
      </c>
      <c r="AO141">
        <v>110.33</v>
      </c>
      <c r="AP141">
        <v>0</v>
      </c>
      <c r="AQ141">
        <v>11.7</v>
      </c>
      <c r="AR141">
        <v>0</v>
      </c>
      <c r="AS141">
        <v>0</v>
      </c>
      <c r="AT141">
        <v>70</v>
      </c>
      <c r="AU141">
        <v>41</v>
      </c>
      <c r="AV141">
        <v>1.0469999999999999</v>
      </c>
      <c r="AW141">
        <v>1</v>
      </c>
      <c r="AZ141">
        <v>1</v>
      </c>
      <c r="BA141">
        <v>46.67</v>
      </c>
      <c r="BB141">
        <v>13.89</v>
      </c>
      <c r="BC141">
        <v>1</v>
      </c>
      <c r="BD141" t="s">
        <v>6</v>
      </c>
      <c r="BE141" t="s">
        <v>6</v>
      </c>
      <c r="BF141" t="s">
        <v>6</v>
      </c>
      <c r="BG141" t="s">
        <v>6</v>
      </c>
      <c r="BH141">
        <v>0</v>
      </c>
      <c r="BI141">
        <v>1</v>
      </c>
      <c r="BJ141" t="s">
        <v>137</v>
      </c>
      <c r="BM141">
        <v>674</v>
      </c>
      <c r="BN141">
        <v>0</v>
      </c>
      <c r="BO141" t="s">
        <v>135</v>
      </c>
      <c r="BP141">
        <v>1</v>
      </c>
      <c r="BQ141">
        <v>60</v>
      </c>
      <c r="BR141">
        <v>0</v>
      </c>
      <c r="BS141">
        <v>46.67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6</v>
      </c>
      <c r="BZ141">
        <v>70</v>
      </c>
      <c r="CA141">
        <v>41</v>
      </c>
      <c r="CB141" t="s">
        <v>6</v>
      </c>
      <c r="CE141">
        <v>30</v>
      </c>
      <c r="CF141">
        <v>0</v>
      </c>
      <c r="CG141">
        <v>0</v>
      </c>
      <c r="CM141">
        <v>0</v>
      </c>
      <c r="CN141" t="s">
        <v>6</v>
      </c>
      <c r="CO141">
        <v>0</v>
      </c>
      <c r="CP141">
        <f t="shared" si="148"/>
        <v>30986.78</v>
      </c>
      <c r="CQ141">
        <f t="shared" si="149"/>
        <v>0</v>
      </c>
      <c r="CR141">
        <f t="shared" si="150"/>
        <v>8249.69</v>
      </c>
      <c r="CS141">
        <f t="shared" si="151"/>
        <v>2814.2</v>
      </c>
      <c r="CT141">
        <f t="shared" si="152"/>
        <v>5391.32</v>
      </c>
      <c r="CU141">
        <f t="shared" si="153"/>
        <v>0</v>
      </c>
      <c r="CV141">
        <f t="shared" si="154"/>
        <v>12.249899999999998</v>
      </c>
      <c r="CW141">
        <f t="shared" si="155"/>
        <v>0</v>
      </c>
      <c r="CX141">
        <f t="shared" si="155"/>
        <v>0</v>
      </c>
      <c r="CY141">
        <f>S141*(BZ141/100)</f>
        <v>8572.6689999999999</v>
      </c>
      <c r="CZ141">
        <f>S141*(CA141/100)</f>
        <v>5021.1346999999996</v>
      </c>
      <c r="DC141" t="s">
        <v>6</v>
      </c>
      <c r="DD141" t="s">
        <v>6</v>
      </c>
      <c r="DE141" t="s">
        <v>6</v>
      </c>
      <c r="DF141" t="s">
        <v>6</v>
      </c>
      <c r="DG141" t="s">
        <v>6</v>
      </c>
      <c r="DH141" t="s">
        <v>6</v>
      </c>
      <c r="DI141" t="s">
        <v>6</v>
      </c>
      <c r="DJ141" t="s">
        <v>6</v>
      </c>
      <c r="DK141" t="s">
        <v>6</v>
      </c>
      <c r="DL141" t="s">
        <v>6</v>
      </c>
      <c r="DM141" t="s">
        <v>6</v>
      </c>
      <c r="DN141">
        <v>80</v>
      </c>
      <c r="DO141">
        <v>55</v>
      </c>
      <c r="DP141">
        <v>1.0469999999999999</v>
      </c>
      <c r="DQ141">
        <v>1</v>
      </c>
      <c r="DU141">
        <v>1007</v>
      </c>
      <c r="DV141" t="s">
        <v>125</v>
      </c>
      <c r="DW141" t="s">
        <v>125</v>
      </c>
      <c r="DX141">
        <v>100</v>
      </c>
      <c r="DZ141" t="s">
        <v>6</v>
      </c>
      <c r="EA141" t="s">
        <v>6</v>
      </c>
      <c r="EB141" t="s">
        <v>6</v>
      </c>
      <c r="EC141" t="s">
        <v>6</v>
      </c>
      <c r="EE141">
        <v>69253299</v>
      </c>
      <c r="EF141">
        <v>60</v>
      </c>
      <c r="EG141" t="s">
        <v>127</v>
      </c>
      <c r="EH141">
        <v>0</v>
      </c>
      <c r="EI141" t="s">
        <v>6</v>
      </c>
      <c r="EJ141">
        <v>1</v>
      </c>
      <c r="EK141">
        <v>674</v>
      </c>
      <c r="EL141" t="s">
        <v>128</v>
      </c>
      <c r="EM141" t="s">
        <v>129</v>
      </c>
      <c r="EO141" t="s">
        <v>6</v>
      </c>
      <c r="EQ141">
        <v>0</v>
      </c>
      <c r="ER141">
        <v>677.6</v>
      </c>
      <c r="ES141">
        <v>0</v>
      </c>
      <c r="ET141">
        <v>567.27</v>
      </c>
      <c r="EU141">
        <v>57.59</v>
      </c>
      <c r="EV141">
        <v>110.33</v>
      </c>
      <c r="EW141">
        <v>11.7</v>
      </c>
      <c r="EX141">
        <v>0</v>
      </c>
      <c r="EY141">
        <v>0</v>
      </c>
      <c r="FQ141">
        <v>0</v>
      </c>
      <c r="FR141">
        <f t="shared" si="156"/>
        <v>0</v>
      </c>
      <c r="FS141">
        <v>0</v>
      </c>
      <c r="FX141">
        <v>80</v>
      </c>
      <c r="FY141">
        <v>55</v>
      </c>
      <c r="GA141" t="s">
        <v>6</v>
      </c>
      <c r="GD141">
        <v>0</v>
      </c>
      <c r="GF141">
        <v>-1905228297</v>
      </c>
      <c r="GG141">
        <v>2</v>
      </c>
      <c r="GH141">
        <v>1</v>
      </c>
      <c r="GI141">
        <v>2</v>
      </c>
      <c r="GJ141">
        <v>0</v>
      </c>
      <c r="GK141">
        <f>ROUND(R141*(S12)/100,2)</f>
        <v>10227.82</v>
      </c>
      <c r="GL141">
        <f t="shared" si="157"/>
        <v>0</v>
      </c>
      <c r="GM141">
        <f t="shared" si="158"/>
        <v>54808.4</v>
      </c>
      <c r="GN141">
        <f t="shared" si="159"/>
        <v>54808.4</v>
      </c>
      <c r="GO141">
        <f t="shared" si="160"/>
        <v>0</v>
      </c>
      <c r="GP141">
        <f t="shared" si="161"/>
        <v>0</v>
      </c>
      <c r="GR141">
        <v>0</v>
      </c>
      <c r="GS141">
        <v>0</v>
      </c>
      <c r="GT141">
        <v>0</v>
      </c>
      <c r="GU141" t="s">
        <v>6</v>
      </c>
      <c r="GV141">
        <f t="shared" si="162"/>
        <v>0</v>
      </c>
      <c r="GW141">
        <v>1</v>
      </c>
      <c r="GX141">
        <f t="shared" si="163"/>
        <v>0</v>
      </c>
      <c r="HA141">
        <v>0</v>
      </c>
      <c r="HB141">
        <v>0</v>
      </c>
      <c r="HC141">
        <f t="shared" si="164"/>
        <v>0</v>
      </c>
      <c r="HE141" t="s">
        <v>6</v>
      </c>
      <c r="HF141" t="s">
        <v>6</v>
      </c>
      <c r="HM141" t="s">
        <v>6</v>
      </c>
      <c r="HN141" t="s">
        <v>6</v>
      </c>
      <c r="HO141" t="s">
        <v>6</v>
      </c>
      <c r="HP141" t="s">
        <v>6</v>
      </c>
      <c r="HQ141" t="s">
        <v>6</v>
      </c>
      <c r="IK141">
        <v>0</v>
      </c>
    </row>
    <row r="142" spans="1:255">
      <c r="A142" s="2">
        <v>17</v>
      </c>
      <c r="B142" s="2">
        <v>1</v>
      </c>
      <c r="C142" s="2"/>
      <c r="D142" s="2"/>
      <c r="E142" s="2" t="s">
        <v>138</v>
      </c>
      <c r="F142" s="2" t="s">
        <v>139</v>
      </c>
      <c r="G142" s="2" t="s">
        <v>140</v>
      </c>
      <c r="H142" s="2" t="s">
        <v>141</v>
      </c>
      <c r="I142" s="2">
        <f>ROUND(ROUND((((0.05+0.06+0.16)*1514.4)*2.4+1514.4*0.15*1.8),5),9)</f>
        <v>1390.2192</v>
      </c>
      <c r="J142" s="2">
        <v>0</v>
      </c>
      <c r="K142" s="2">
        <f>ROUND(ROUND((((0.05+0.06+0.16)*1514.4)*2.4+1514.4*0.15*1.8),5),9)</f>
        <v>1390.2192</v>
      </c>
      <c r="L142" s="2"/>
      <c r="M142" s="2"/>
      <c r="N142" s="2"/>
      <c r="O142" s="2">
        <f t="shared" si="131"/>
        <v>12896.26</v>
      </c>
      <c r="P142" s="2">
        <f t="shared" si="132"/>
        <v>0</v>
      </c>
      <c r="Q142" s="2">
        <f t="shared" si="133"/>
        <v>12896.26</v>
      </c>
      <c r="R142" s="2">
        <f t="shared" si="134"/>
        <v>2154.23</v>
      </c>
      <c r="S142" s="2">
        <f t="shared" si="135"/>
        <v>0</v>
      </c>
      <c r="T142" s="2">
        <f t="shared" si="136"/>
        <v>0</v>
      </c>
      <c r="U142" s="2">
        <f t="shared" si="137"/>
        <v>0</v>
      </c>
      <c r="V142" s="2">
        <f t="shared" si="138"/>
        <v>0</v>
      </c>
      <c r="W142" s="2">
        <f t="shared" si="139"/>
        <v>0</v>
      </c>
      <c r="X142" s="2">
        <f t="shared" si="140"/>
        <v>0</v>
      </c>
      <c r="Y142" s="2">
        <f t="shared" si="140"/>
        <v>0</v>
      </c>
      <c r="Z142" s="2"/>
      <c r="AA142" s="2">
        <v>70322058</v>
      </c>
      <c r="AB142" s="2">
        <f t="shared" si="141"/>
        <v>8.86</v>
      </c>
      <c r="AC142" s="2">
        <f t="shared" si="142"/>
        <v>0</v>
      </c>
      <c r="AD142" s="2">
        <f t="shared" si="143"/>
        <v>8.86</v>
      </c>
      <c r="AE142" s="2">
        <f t="shared" si="144"/>
        <v>1.48</v>
      </c>
      <c r="AF142" s="2">
        <f t="shared" si="144"/>
        <v>0</v>
      </c>
      <c r="AG142" s="2">
        <f t="shared" si="145"/>
        <v>0</v>
      </c>
      <c r="AH142" s="2">
        <f t="shared" si="146"/>
        <v>0</v>
      </c>
      <c r="AI142" s="2">
        <f t="shared" si="146"/>
        <v>0</v>
      </c>
      <c r="AJ142" s="2">
        <f t="shared" si="147"/>
        <v>0</v>
      </c>
      <c r="AK142" s="2">
        <v>8.86</v>
      </c>
      <c r="AL142" s="2">
        <v>0</v>
      </c>
      <c r="AM142" s="2">
        <v>8.86</v>
      </c>
      <c r="AN142" s="2">
        <v>1.48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91</v>
      </c>
      <c r="AU142" s="2">
        <v>70</v>
      </c>
      <c r="AV142" s="2">
        <v>1.0469999999999999</v>
      </c>
      <c r="AW142" s="2">
        <v>1.002</v>
      </c>
      <c r="AX142" s="2"/>
      <c r="AY142" s="2"/>
      <c r="AZ142" s="2">
        <v>1</v>
      </c>
      <c r="BA142" s="2">
        <v>1</v>
      </c>
      <c r="BB142" s="2">
        <v>1</v>
      </c>
      <c r="BC142" s="2">
        <v>1</v>
      </c>
      <c r="BD142" s="2" t="s">
        <v>6</v>
      </c>
      <c r="BE142" s="2" t="s">
        <v>6</v>
      </c>
      <c r="BF142" s="2" t="s">
        <v>6</v>
      </c>
      <c r="BG142" s="2" t="s">
        <v>6</v>
      </c>
      <c r="BH142" s="2">
        <v>0</v>
      </c>
      <c r="BI142" s="2">
        <v>1</v>
      </c>
      <c r="BJ142" s="2" t="s">
        <v>142</v>
      </c>
      <c r="BK142" s="2"/>
      <c r="BL142" s="2"/>
      <c r="BM142" s="2">
        <v>658</v>
      </c>
      <c r="BN142" s="2">
        <v>0</v>
      </c>
      <c r="BO142" s="2" t="s">
        <v>6</v>
      </c>
      <c r="BP142" s="2">
        <v>0</v>
      </c>
      <c r="BQ142" s="2">
        <v>60</v>
      </c>
      <c r="BR142" s="2">
        <v>0</v>
      </c>
      <c r="BS142" s="2">
        <v>1</v>
      </c>
      <c r="BT142" s="2">
        <v>1</v>
      </c>
      <c r="BU142" s="2">
        <v>1</v>
      </c>
      <c r="BV142" s="2">
        <v>1</v>
      </c>
      <c r="BW142" s="2">
        <v>1</v>
      </c>
      <c r="BX142" s="2">
        <v>1</v>
      </c>
      <c r="BY142" s="2" t="s">
        <v>6</v>
      </c>
      <c r="BZ142" s="2">
        <v>91</v>
      </c>
      <c r="CA142" s="2">
        <v>70</v>
      </c>
      <c r="CB142" s="2" t="s">
        <v>6</v>
      </c>
      <c r="CC142" s="2"/>
      <c r="CD142" s="2"/>
      <c r="CE142" s="2">
        <v>30</v>
      </c>
      <c r="CF142" s="2">
        <v>0</v>
      </c>
      <c r="CG142" s="2">
        <v>0</v>
      </c>
      <c r="CH142" s="2"/>
      <c r="CI142" s="2"/>
      <c r="CJ142" s="2"/>
      <c r="CK142" s="2"/>
      <c r="CL142" s="2"/>
      <c r="CM142" s="2">
        <v>0</v>
      </c>
      <c r="CN142" s="2" t="s">
        <v>6</v>
      </c>
      <c r="CO142" s="2">
        <v>0</v>
      </c>
      <c r="CP142" s="2">
        <f t="shared" si="148"/>
        <v>12896.26</v>
      </c>
      <c r="CQ142" s="2">
        <f t="shared" si="149"/>
        <v>0</v>
      </c>
      <c r="CR142" s="2">
        <f t="shared" si="150"/>
        <v>9.2799999999999994</v>
      </c>
      <c r="CS142" s="2">
        <f t="shared" si="151"/>
        <v>1.55</v>
      </c>
      <c r="CT142" s="2">
        <f t="shared" si="152"/>
        <v>0</v>
      </c>
      <c r="CU142" s="2">
        <f t="shared" si="153"/>
        <v>0</v>
      </c>
      <c r="CV142" s="2">
        <f t="shared" si="154"/>
        <v>0</v>
      </c>
      <c r="CW142" s="2">
        <f t="shared" si="155"/>
        <v>0</v>
      </c>
      <c r="CX142" s="2">
        <f t="shared" si="155"/>
        <v>0</v>
      </c>
      <c r="CY142" s="2">
        <f>((S142*BZ142)/100)</f>
        <v>0</v>
      </c>
      <c r="CZ142" s="2">
        <f>((S142*CA142)/100)</f>
        <v>0</v>
      </c>
      <c r="DA142" s="2"/>
      <c r="DB142" s="2"/>
      <c r="DC142" s="2" t="s">
        <v>6</v>
      </c>
      <c r="DD142" s="2" t="s">
        <v>6</v>
      </c>
      <c r="DE142" s="2" t="s">
        <v>6</v>
      </c>
      <c r="DF142" s="2" t="s">
        <v>6</v>
      </c>
      <c r="DG142" s="2" t="s">
        <v>6</v>
      </c>
      <c r="DH142" s="2" t="s">
        <v>6</v>
      </c>
      <c r="DI142" s="2" t="s">
        <v>6</v>
      </c>
      <c r="DJ142" s="2" t="s">
        <v>6</v>
      </c>
      <c r="DK142" s="2" t="s">
        <v>6</v>
      </c>
      <c r="DL142" s="2" t="s">
        <v>6</v>
      </c>
      <c r="DM142" s="2" t="s">
        <v>6</v>
      </c>
      <c r="DN142" s="2">
        <v>0</v>
      </c>
      <c r="DO142" s="2">
        <v>0</v>
      </c>
      <c r="DP142" s="2">
        <v>1</v>
      </c>
      <c r="DQ142" s="2">
        <v>1</v>
      </c>
      <c r="DR142" s="2"/>
      <c r="DS142" s="2"/>
      <c r="DT142" s="2"/>
      <c r="DU142" s="2">
        <v>1013</v>
      </c>
      <c r="DV142" s="2" t="s">
        <v>141</v>
      </c>
      <c r="DW142" s="2" t="s">
        <v>141</v>
      </c>
      <c r="DX142" s="2">
        <v>1</v>
      </c>
      <c r="DY142" s="2"/>
      <c r="DZ142" s="2" t="s">
        <v>6</v>
      </c>
      <c r="EA142" s="2" t="s">
        <v>6</v>
      </c>
      <c r="EB142" s="2" t="s">
        <v>6</v>
      </c>
      <c r="EC142" s="2" t="s">
        <v>6</v>
      </c>
      <c r="ED142" s="2"/>
      <c r="EE142" s="2">
        <v>69253283</v>
      </c>
      <c r="EF142" s="2">
        <v>60</v>
      </c>
      <c r="EG142" s="2" t="s">
        <v>127</v>
      </c>
      <c r="EH142" s="2">
        <v>0</v>
      </c>
      <c r="EI142" s="2" t="s">
        <v>6</v>
      </c>
      <c r="EJ142" s="2">
        <v>1</v>
      </c>
      <c r="EK142" s="2">
        <v>658</v>
      </c>
      <c r="EL142" s="2" t="s">
        <v>143</v>
      </c>
      <c r="EM142" s="2" t="s">
        <v>144</v>
      </c>
      <c r="EN142" s="2"/>
      <c r="EO142" s="2" t="s">
        <v>6</v>
      </c>
      <c r="EP142" s="2"/>
      <c r="EQ142" s="2">
        <v>0</v>
      </c>
      <c r="ER142" s="2">
        <v>8.86</v>
      </c>
      <c r="ES142" s="2">
        <v>0</v>
      </c>
      <c r="ET142" s="2">
        <v>8.86</v>
      </c>
      <c r="EU142" s="2">
        <v>1.48</v>
      </c>
      <c r="EV142" s="2">
        <v>0</v>
      </c>
      <c r="EW142" s="2">
        <v>0</v>
      </c>
      <c r="EX142" s="2">
        <v>0</v>
      </c>
      <c r="EY142" s="2">
        <v>0</v>
      </c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>
        <v>0</v>
      </c>
      <c r="FR142" s="2">
        <f t="shared" si="156"/>
        <v>0</v>
      </c>
      <c r="FS142" s="2">
        <v>0</v>
      </c>
      <c r="FT142" s="2"/>
      <c r="FU142" s="2"/>
      <c r="FV142" s="2"/>
      <c r="FW142" s="2"/>
      <c r="FX142" s="2">
        <v>91</v>
      </c>
      <c r="FY142" s="2">
        <v>70</v>
      </c>
      <c r="FZ142" s="2"/>
      <c r="GA142" s="2" t="s">
        <v>6</v>
      </c>
      <c r="GB142" s="2"/>
      <c r="GC142" s="2"/>
      <c r="GD142" s="2">
        <v>0</v>
      </c>
      <c r="GE142" s="2"/>
      <c r="GF142" s="2">
        <v>-1841378124</v>
      </c>
      <c r="GG142" s="2">
        <v>2</v>
      </c>
      <c r="GH142" s="2">
        <v>1</v>
      </c>
      <c r="GI142" s="2">
        <v>-2</v>
      </c>
      <c r="GJ142" s="2">
        <v>0</v>
      </c>
      <c r="GK142" s="2">
        <f>ROUND(R142*(R12)/100,2)</f>
        <v>3769.9</v>
      </c>
      <c r="GL142" s="2">
        <f t="shared" si="157"/>
        <v>0</v>
      </c>
      <c r="GM142" s="2">
        <f t="shared" si="158"/>
        <v>16666.16</v>
      </c>
      <c r="GN142" s="2">
        <f t="shared" si="159"/>
        <v>16666.16</v>
      </c>
      <c r="GO142" s="2">
        <f t="shared" si="160"/>
        <v>0</v>
      </c>
      <c r="GP142" s="2">
        <f t="shared" si="161"/>
        <v>0</v>
      </c>
      <c r="GQ142" s="2"/>
      <c r="GR142" s="2">
        <v>0</v>
      </c>
      <c r="GS142" s="2">
        <v>3</v>
      </c>
      <c r="GT142" s="2">
        <v>0</v>
      </c>
      <c r="GU142" s="2" t="s">
        <v>6</v>
      </c>
      <c r="GV142" s="2">
        <f t="shared" si="162"/>
        <v>0</v>
      </c>
      <c r="GW142" s="2">
        <v>1</v>
      </c>
      <c r="GX142" s="2">
        <f t="shared" si="163"/>
        <v>0</v>
      </c>
      <c r="GY142" s="2"/>
      <c r="GZ142" s="2"/>
      <c r="HA142" s="2">
        <v>0</v>
      </c>
      <c r="HB142" s="2">
        <v>0</v>
      </c>
      <c r="HC142" s="2">
        <f t="shared" si="164"/>
        <v>0</v>
      </c>
      <c r="HD142" s="2"/>
      <c r="HE142" s="2" t="s">
        <v>6</v>
      </c>
      <c r="HF142" s="2" t="s">
        <v>6</v>
      </c>
      <c r="HG142" s="2"/>
      <c r="HH142" s="2"/>
      <c r="HI142" s="2"/>
      <c r="HJ142" s="2"/>
      <c r="HK142" s="2"/>
      <c r="HL142" s="2"/>
      <c r="HM142" s="2" t="s">
        <v>6</v>
      </c>
      <c r="HN142" s="2" t="s">
        <v>6</v>
      </c>
      <c r="HO142" s="2" t="s">
        <v>6</v>
      </c>
      <c r="HP142" s="2" t="s">
        <v>6</v>
      </c>
      <c r="HQ142" s="2" t="s">
        <v>6</v>
      </c>
      <c r="HR142" s="2"/>
      <c r="HS142" s="2"/>
      <c r="HT142" s="2"/>
      <c r="HU142" s="2"/>
      <c r="HV142" s="2"/>
      <c r="HW142" s="2"/>
      <c r="HX142" s="2"/>
      <c r="HY142" s="2"/>
      <c r="HZ142" s="2"/>
      <c r="IA142" s="2"/>
      <c r="IB142" s="2"/>
      <c r="IC142" s="2"/>
      <c r="ID142" s="2"/>
      <c r="IE142" s="2"/>
      <c r="IF142" s="2"/>
      <c r="IG142" s="2"/>
      <c r="IH142" s="2"/>
      <c r="II142" s="2"/>
      <c r="IJ142" s="2"/>
      <c r="IK142" s="2">
        <v>0</v>
      </c>
      <c r="IL142" s="2"/>
      <c r="IM142" s="2"/>
      <c r="IN142" s="2"/>
      <c r="IO142" s="2"/>
      <c r="IP142" s="2"/>
      <c r="IQ142" s="2"/>
      <c r="IR142" s="2"/>
      <c r="IS142" s="2"/>
      <c r="IT142" s="2"/>
      <c r="IU142" s="2"/>
    </row>
    <row r="143" spans="1:255">
      <c r="A143">
        <v>17</v>
      </c>
      <c r="B143">
        <v>1</v>
      </c>
      <c r="E143" t="s">
        <v>138</v>
      </c>
      <c r="F143" t="s">
        <v>139</v>
      </c>
      <c r="G143" t="s">
        <v>140</v>
      </c>
      <c r="H143" t="s">
        <v>141</v>
      </c>
      <c r="I143">
        <f>ROUND(ROUND((((0.05+0.06+0.16)*1514.4)*2.4+1514.4*0.15*1.8),5),9)</f>
        <v>1390.2192</v>
      </c>
      <c r="J143">
        <v>0</v>
      </c>
      <c r="K143">
        <f>ROUND(ROUND((((0.05+0.06+0.16)*1514.4)*2.4+1514.4*0.15*1.8),5),9)</f>
        <v>1390.2192</v>
      </c>
      <c r="O143">
        <f t="shared" si="131"/>
        <v>208145.64</v>
      </c>
      <c r="P143">
        <f t="shared" si="132"/>
        <v>0</v>
      </c>
      <c r="Q143">
        <f t="shared" si="133"/>
        <v>208145.64</v>
      </c>
      <c r="R143">
        <f t="shared" si="134"/>
        <v>100537.91</v>
      </c>
      <c r="S143">
        <f t="shared" si="135"/>
        <v>0</v>
      </c>
      <c r="T143">
        <f t="shared" si="136"/>
        <v>0</v>
      </c>
      <c r="U143">
        <f t="shared" si="137"/>
        <v>0</v>
      </c>
      <c r="V143">
        <f t="shared" si="138"/>
        <v>0</v>
      </c>
      <c r="W143">
        <f t="shared" si="139"/>
        <v>0</v>
      </c>
      <c r="X143">
        <f t="shared" si="140"/>
        <v>0</v>
      </c>
      <c r="Y143">
        <f t="shared" si="140"/>
        <v>0</v>
      </c>
      <c r="AA143">
        <v>70322059</v>
      </c>
      <c r="AB143">
        <f t="shared" si="141"/>
        <v>8.86</v>
      </c>
      <c r="AC143">
        <f t="shared" si="142"/>
        <v>0</v>
      </c>
      <c r="AD143">
        <f t="shared" si="143"/>
        <v>8.86</v>
      </c>
      <c r="AE143">
        <f t="shared" si="144"/>
        <v>1.48</v>
      </c>
      <c r="AF143">
        <f t="shared" si="144"/>
        <v>0</v>
      </c>
      <c r="AG143">
        <f t="shared" si="145"/>
        <v>0</v>
      </c>
      <c r="AH143">
        <f t="shared" si="146"/>
        <v>0</v>
      </c>
      <c r="AI143">
        <f t="shared" si="146"/>
        <v>0</v>
      </c>
      <c r="AJ143">
        <f t="shared" si="147"/>
        <v>0</v>
      </c>
      <c r="AK143">
        <v>8.86</v>
      </c>
      <c r="AL143">
        <v>0</v>
      </c>
      <c r="AM143">
        <v>8.86</v>
      </c>
      <c r="AN143">
        <v>1.48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75</v>
      </c>
      <c r="AU143">
        <v>41</v>
      </c>
      <c r="AV143">
        <v>1.0469999999999999</v>
      </c>
      <c r="AW143">
        <v>1.002</v>
      </c>
      <c r="AZ143">
        <v>1</v>
      </c>
      <c r="BA143">
        <v>46.67</v>
      </c>
      <c r="BB143">
        <v>16.14</v>
      </c>
      <c r="BC143">
        <v>1</v>
      </c>
      <c r="BD143" t="s">
        <v>6</v>
      </c>
      <c r="BE143" t="s">
        <v>6</v>
      </c>
      <c r="BF143" t="s">
        <v>6</v>
      </c>
      <c r="BG143" t="s">
        <v>6</v>
      </c>
      <c r="BH143">
        <v>0</v>
      </c>
      <c r="BI143">
        <v>1</v>
      </c>
      <c r="BJ143" t="s">
        <v>142</v>
      </c>
      <c r="BM143">
        <v>658</v>
      </c>
      <c r="BN143">
        <v>0</v>
      </c>
      <c r="BO143" t="s">
        <v>139</v>
      </c>
      <c r="BP143">
        <v>1</v>
      </c>
      <c r="BQ143">
        <v>60</v>
      </c>
      <c r="BR143">
        <v>0</v>
      </c>
      <c r="BS143">
        <v>46.67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6</v>
      </c>
      <c r="BZ143">
        <v>75</v>
      </c>
      <c r="CA143">
        <v>41</v>
      </c>
      <c r="CB143" t="s">
        <v>6</v>
      </c>
      <c r="CE143">
        <v>30</v>
      </c>
      <c r="CF143">
        <v>0</v>
      </c>
      <c r="CG143">
        <v>0</v>
      </c>
      <c r="CM143">
        <v>0</v>
      </c>
      <c r="CN143" t="s">
        <v>6</v>
      </c>
      <c r="CO143">
        <v>0</v>
      </c>
      <c r="CP143">
        <f t="shared" si="148"/>
        <v>208145.64</v>
      </c>
      <c r="CQ143">
        <f t="shared" si="149"/>
        <v>0</v>
      </c>
      <c r="CR143">
        <f t="shared" si="150"/>
        <v>149.78</v>
      </c>
      <c r="CS143">
        <f t="shared" si="151"/>
        <v>72.34</v>
      </c>
      <c r="CT143">
        <f t="shared" si="152"/>
        <v>0</v>
      </c>
      <c r="CU143">
        <f t="shared" si="153"/>
        <v>0</v>
      </c>
      <c r="CV143">
        <f t="shared" si="154"/>
        <v>0</v>
      </c>
      <c r="CW143">
        <f t="shared" si="155"/>
        <v>0</v>
      </c>
      <c r="CX143">
        <f t="shared" si="155"/>
        <v>0</v>
      </c>
      <c r="CY143">
        <f>S143*(BZ143/100)</f>
        <v>0</v>
      </c>
      <c r="CZ143">
        <f>S143*(CA143/100)</f>
        <v>0</v>
      </c>
      <c r="DC143" t="s">
        <v>6</v>
      </c>
      <c r="DD143" t="s">
        <v>6</v>
      </c>
      <c r="DE143" t="s">
        <v>6</v>
      </c>
      <c r="DF143" t="s">
        <v>6</v>
      </c>
      <c r="DG143" t="s">
        <v>6</v>
      </c>
      <c r="DH143" t="s">
        <v>6</v>
      </c>
      <c r="DI143" t="s">
        <v>6</v>
      </c>
      <c r="DJ143" t="s">
        <v>6</v>
      </c>
      <c r="DK143" t="s">
        <v>6</v>
      </c>
      <c r="DL143" t="s">
        <v>6</v>
      </c>
      <c r="DM143" t="s">
        <v>6</v>
      </c>
      <c r="DN143">
        <v>91</v>
      </c>
      <c r="DO143">
        <v>70</v>
      </c>
      <c r="DP143">
        <v>1.0469999999999999</v>
      </c>
      <c r="DQ143">
        <v>1.002</v>
      </c>
      <c r="DU143">
        <v>1013</v>
      </c>
      <c r="DV143" t="s">
        <v>141</v>
      </c>
      <c r="DW143" t="s">
        <v>141</v>
      </c>
      <c r="DX143">
        <v>1</v>
      </c>
      <c r="DZ143" t="s">
        <v>6</v>
      </c>
      <c r="EA143" t="s">
        <v>6</v>
      </c>
      <c r="EB143" t="s">
        <v>6</v>
      </c>
      <c r="EC143" t="s">
        <v>6</v>
      </c>
      <c r="EE143">
        <v>69253283</v>
      </c>
      <c r="EF143">
        <v>60</v>
      </c>
      <c r="EG143" t="s">
        <v>127</v>
      </c>
      <c r="EH143">
        <v>0</v>
      </c>
      <c r="EI143" t="s">
        <v>6</v>
      </c>
      <c r="EJ143">
        <v>1</v>
      </c>
      <c r="EK143">
        <v>658</v>
      </c>
      <c r="EL143" t="s">
        <v>143</v>
      </c>
      <c r="EM143" t="s">
        <v>144</v>
      </c>
      <c r="EO143" t="s">
        <v>6</v>
      </c>
      <c r="EQ143">
        <v>0</v>
      </c>
      <c r="ER143">
        <v>8.86</v>
      </c>
      <c r="ES143">
        <v>0</v>
      </c>
      <c r="ET143">
        <v>8.86</v>
      </c>
      <c r="EU143">
        <v>1.48</v>
      </c>
      <c r="EV143">
        <v>0</v>
      </c>
      <c r="EW143">
        <v>0</v>
      </c>
      <c r="EX143">
        <v>0</v>
      </c>
      <c r="EY143">
        <v>0</v>
      </c>
      <c r="FQ143">
        <v>0</v>
      </c>
      <c r="FR143">
        <f t="shared" si="156"/>
        <v>0</v>
      </c>
      <c r="FS143">
        <v>0</v>
      </c>
      <c r="FX143">
        <v>91</v>
      </c>
      <c r="FY143">
        <v>70</v>
      </c>
      <c r="GA143" t="s">
        <v>6</v>
      </c>
      <c r="GD143">
        <v>0</v>
      </c>
      <c r="GF143">
        <v>-1841378124</v>
      </c>
      <c r="GG143">
        <v>2</v>
      </c>
      <c r="GH143">
        <v>1</v>
      </c>
      <c r="GI143">
        <v>2</v>
      </c>
      <c r="GJ143">
        <v>0</v>
      </c>
      <c r="GK143">
        <f>ROUND(R143*(S12)/100,2)</f>
        <v>160860.66</v>
      </c>
      <c r="GL143">
        <f t="shared" si="157"/>
        <v>0</v>
      </c>
      <c r="GM143">
        <f t="shared" si="158"/>
        <v>369006.3</v>
      </c>
      <c r="GN143">
        <f t="shared" si="159"/>
        <v>369006.3</v>
      </c>
      <c r="GO143">
        <f t="shared" si="160"/>
        <v>0</v>
      </c>
      <c r="GP143">
        <f t="shared" si="161"/>
        <v>0</v>
      </c>
      <c r="GR143">
        <v>0</v>
      </c>
      <c r="GS143">
        <v>0</v>
      </c>
      <c r="GT143">
        <v>0</v>
      </c>
      <c r="GU143" t="s">
        <v>6</v>
      </c>
      <c r="GV143">
        <f t="shared" si="162"/>
        <v>0</v>
      </c>
      <c r="GW143">
        <v>1</v>
      </c>
      <c r="GX143">
        <f t="shared" si="163"/>
        <v>0</v>
      </c>
      <c r="HA143">
        <v>0</v>
      </c>
      <c r="HB143">
        <v>0</v>
      </c>
      <c r="HC143">
        <f t="shared" si="164"/>
        <v>0</v>
      </c>
      <c r="HE143" t="s">
        <v>6</v>
      </c>
      <c r="HF143" t="s">
        <v>6</v>
      </c>
      <c r="HM143" t="s">
        <v>6</v>
      </c>
      <c r="HN143" t="s">
        <v>6</v>
      </c>
      <c r="HO143" t="s">
        <v>6</v>
      </c>
      <c r="HP143" t="s">
        <v>6</v>
      </c>
      <c r="HQ143" t="s">
        <v>6</v>
      </c>
      <c r="IK143">
        <v>0</v>
      </c>
    </row>
    <row r="144" spans="1:255">
      <c r="A144" s="2">
        <v>19</v>
      </c>
      <c r="B144" s="2">
        <v>1</v>
      </c>
      <c r="C144" s="2"/>
      <c r="D144" s="2"/>
      <c r="E144" s="2"/>
      <c r="F144" s="2" t="s">
        <v>6</v>
      </c>
      <c r="G144" s="2" t="s">
        <v>145</v>
      </c>
      <c r="H144" s="2" t="s">
        <v>6</v>
      </c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>
        <v>1</v>
      </c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/>
      <c r="FR144" s="2"/>
      <c r="FS144" s="2"/>
      <c r="FT144" s="2"/>
      <c r="FU144" s="2"/>
      <c r="FV144" s="2"/>
      <c r="FW144" s="2"/>
      <c r="FX144" s="2"/>
      <c r="FY144" s="2"/>
      <c r="FZ144" s="2"/>
      <c r="GA144" s="2"/>
      <c r="GB144" s="2"/>
      <c r="GC144" s="2"/>
      <c r="GD144" s="2"/>
      <c r="GE144" s="2"/>
      <c r="GF144" s="2"/>
      <c r="GG144" s="2"/>
      <c r="GH144" s="2"/>
      <c r="GI144" s="2"/>
      <c r="GJ144" s="2"/>
      <c r="GK144" s="2"/>
      <c r="GL144" s="2"/>
      <c r="GM144" s="2"/>
      <c r="GN144" s="2"/>
      <c r="GO144" s="2"/>
      <c r="GP144" s="2"/>
      <c r="GQ144" s="2"/>
      <c r="GR144" s="2"/>
      <c r="GS144" s="2"/>
      <c r="GT144" s="2"/>
      <c r="GU144" s="2"/>
      <c r="GV144" s="2"/>
      <c r="GW144" s="2"/>
      <c r="GX144" s="2"/>
      <c r="GY144" s="2"/>
      <c r="GZ144" s="2"/>
      <c r="HA144" s="2"/>
      <c r="HB144" s="2"/>
      <c r="HC144" s="2"/>
      <c r="HD144" s="2"/>
      <c r="HE144" s="2"/>
      <c r="HF144" s="2"/>
      <c r="HG144" s="2"/>
      <c r="HH144" s="2"/>
      <c r="HI144" s="2"/>
      <c r="HJ144" s="2"/>
      <c r="HK144" s="2"/>
      <c r="HL144" s="2"/>
      <c r="HM144" s="2"/>
      <c r="HN144" s="2"/>
      <c r="HO144" s="2"/>
      <c r="HP144" s="2"/>
      <c r="HQ144" s="2"/>
      <c r="HR144" s="2"/>
      <c r="HS144" s="2"/>
      <c r="HT144" s="2"/>
      <c r="HU144" s="2"/>
      <c r="HV144" s="2"/>
      <c r="HW144" s="2"/>
      <c r="HX144" s="2"/>
      <c r="HY144" s="2"/>
      <c r="HZ144" s="2"/>
      <c r="IA144" s="2"/>
      <c r="IB144" s="2"/>
      <c r="IC144" s="2"/>
      <c r="ID144" s="2"/>
      <c r="IE144" s="2"/>
      <c r="IF144" s="2"/>
      <c r="IG144" s="2"/>
      <c r="IH144" s="2"/>
      <c r="II144" s="2"/>
      <c r="IJ144" s="2"/>
      <c r="IK144" s="2">
        <v>0</v>
      </c>
      <c r="IL144" s="2"/>
      <c r="IM144" s="2"/>
      <c r="IN144" s="2"/>
      <c r="IO144" s="2"/>
      <c r="IP144" s="2"/>
      <c r="IQ144" s="2"/>
      <c r="IR144" s="2"/>
      <c r="IS144" s="2"/>
      <c r="IT144" s="2"/>
      <c r="IU144" s="2"/>
    </row>
    <row r="145" spans="1:255">
      <c r="A145" s="2">
        <v>17</v>
      </c>
      <c r="B145" s="2">
        <v>1</v>
      </c>
      <c r="C145" s="2"/>
      <c r="D145" s="2"/>
      <c r="E145" s="2" t="s">
        <v>146</v>
      </c>
      <c r="F145" s="2" t="s">
        <v>147</v>
      </c>
      <c r="G145" s="2" t="s">
        <v>148</v>
      </c>
      <c r="H145" s="2" t="s">
        <v>149</v>
      </c>
      <c r="I145" s="2">
        <f>ROUND((1514.4)/1000,9)</f>
        <v>1.5144</v>
      </c>
      <c r="J145" s="2">
        <v>0</v>
      </c>
      <c r="K145" s="2">
        <f>ROUND((1514.4)/1000,9)</f>
        <v>1.5144</v>
      </c>
      <c r="L145" s="2"/>
      <c r="M145" s="2"/>
      <c r="N145" s="2"/>
      <c r="O145" s="2">
        <f t="shared" ref="O145:O176" si="165">ROUND(CP145,2)</f>
        <v>1508.74</v>
      </c>
      <c r="P145" s="2">
        <f t="shared" ref="P145:P176" si="166">ROUND((ROUND((AC145*AW145*I145),2)*BC145),2)</f>
        <v>1.35</v>
      </c>
      <c r="Q145" s="2">
        <f t="shared" ref="Q145:Q174" si="167">(ROUND((ROUND(((ET145)*AV145*I145),2)*BB145),2)+ROUND((ROUND(((AE145-(EU145))*AV145*I145),2)*BS145),2))</f>
        <v>1055.01</v>
      </c>
      <c r="R145" s="2">
        <f t="shared" ref="R145:R176" si="168">ROUND((ROUND((AE145*AV145*I145),2)*BS145),2)</f>
        <v>95.02</v>
      </c>
      <c r="S145" s="2">
        <f t="shared" ref="S145:S176" si="169">ROUND((ROUND((AF145*AV145*I145),2)*BA145),2)</f>
        <v>452.38</v>
      </c>
      <c r="T145" s="2">
        <f t="shared" ref="T145:T176" si="170">ROUND(CU145*I145,2)</f>
        <v>0</v>
      </c>
      <c r="U145" s="2">
        <f t="shared" ref="U145:U176" si="171">CV145*I145</f>
        <v>43.920477359999992</v>
      </c>
      <c r="V145" s="2">
        <f t="shared" ref="V145:V176" si="172">CW145*I145</f>
        <v>0</v>
      </c>
      <c r="W145" s="2">
        <f t="shared" ref="W145:W176" si="173">ROUND(CX145*I145,2)</f>
        <v>0</v>
      </c>
      <c r="X145" s="2">
        <f t="shared" ref="X145:X176" si="174">ROUND(CY145,2)</f>
        <v>728.33</v>
      </c>
      <c r="Y145" s="2">
        <f t="shared" ref="Y145:Y176" si="175">ROUND(CZ145,2)</f>
        <v>484.05</v>
      </c>
      <c r="Z145" s="2"/>
      <c r="AA145" s="2">
        <v>70322058</v>
      </c>
      <c r="AB145" s="2">
        <f t="shared" ref="AB145:AB176" si="176">ROUND((AC145+AD145+AF145),6)</f>
        <v>951.58</v>
      </c>
      <c r="AC145" s="2">
        <f t="shared" ref="AC145:AC174" si="177">ROUND((ES145),6)</f>
        <v>0.89</v>
      </c>
      <c r="AD145" s="2">
        <f t="shared" ref="AD145:AD174" si="178">ROUND((((ET145)-(EU145))+AE145),6)</f>
        <v>665.38</v>
      </c>
      <c r="AE145" s="2">
        <f t="shared" ref="AE145:AE174" si="179">ROUND((EU145),6)</f>
        <v>59.93</v>
      </c>
      <c r="AF145" s="2">
        <f t="shared" ref="AF145:AF174" si="180">ROUND((EV145),6)</f>
        <v>285.31</v>
      </c>
      <c r="AG145" s="2">
        <f t="shared" ref="AG145:AG176" si="181">ROUND((AP145),6)</f>
        <v>0</v>
      </c>
      <c r="AH145" s="2">
        <f t="shared" ref="AH145:AH174" si="182">(EW145)</f>
        <v>27.7</v>
      </c>
      <c r="AI145" s="2">
        <f t="shared" ref="AI145:AI174" si="183">(EX145)</f>
        <v>0</v>
      </c>
      <c r="AJ145" s="2">
        <f t="shared" ref="AJ145:AJ176" si="184">(AS145)</f>
        <v>0</v>
      </c>
      <c r="AK145" s="2">
        <v>951.58</v>
      </c>
      <c r="AL145" s="2">
        <v>0.89</v>
      </c>
      <c r="AM145" s="2">
        <v>665.38</v>
      </c>
      <c r="AN145" s="2">
        <v>59.93</v>
      </c>
      <c r="AO145" s="2">
        <v>285.31</v>
      </c>
      <c r="AP145" s="2">
        <v>0</v>
      </c>
      <c r="AQ145" s="2">
        <v>27.7</v>
      </c>
      <c r="AR145" s="2">
        <v>0</v>
      </c>
      <c r="AS145" s="2">
        <v>0</v>
      </c>
      <c r="AT145" s="2">
        <v>161</v>
      </c>
      <c r="AU145" s="2">
        <v>107</v>
      </c>
      <c r="AV145" s="2">
        <v>1.0469999999999999</v>
      </c>
      <c r="AW145" s="2">
        <v>1.002</v>
      </c>
      <c r="AX145" s="2"/>
      <c r="AY145" s="2"/>
      <c r="AZ145" s="2">
        <v>1</v>
      </c>
      <c r="BA145" s="2">
        <v>1</v>
      </c>
      <c r="BB145" s="2">
        <v>1</v>
      </c>
      <c r="BC145" s="2">
        <v>1</v>
      </c>
      <c r="BD145" s="2" t="s">
        <v>6</v>
      </c>
      <c r="BE145" s="2" t="s">
        <v>6</v>
      </c>
      <c r="BF145" s="2" t="s">
        <v>6</v>
      </c>
      <c r="BG145" s="2" t="s">
        <v>6</v>
      </c>
      <c r="BH145" s="2">
        <v>0</v>
      </c>
      <c r="BI145" s="2">
        <v>1</v>
      </c>
      <c r="BJ145" s="2" t="s">
        <v>150</v>
      </c>
      <c r="BK145" s="2"/>
      <c r="BL145" s="2"/>
      <c r="BM145" s="2">
        <v>166</v>
      </c>
      <c r="BN145" s="2">
        <v>0</v>
      </c>
      <c r="BO145" s="2" t="s">
        <v>6</v>
      </c>
      <c r="BP145" s="2">
        <v>0</v>
      </c>
      <c r="BQ145" s="2">
        <v>30</v>
      </c>
      <c r="BR145" s="2">
        <v>0</v>
      </c>
      <c r="BS145" s="2">
        <v>1</v>
      </c>
      <c r="BT145" s="2">
        <v>1</v>
      </c>
      <c r="BU145" s="2">
        <v>1</v>
      </c>
      <c r="BV145" s="2">
        <v>1</v>
      </c>
      <c r="BW145" s="2">
        <v>1</v>
      </c>
      <c r="BX145" s="2">
        <v>1</v>
      </c>
      <c r="BY145" s="2" t="s">
        <v>6</v>
      </c>
      <c r="BZ145" s="2">
        <v>161</v>
      </c>
      <c r="CA145" s="2">
        <v>107</v>
      </c>
      <c r="CB145" s="2" t="s">
        <v>6</v>
      </c>
      <c r="CC145" s="2"/>
      <c r="CD145" s="2"/>
      <c r="CE145" s="2">
        <v>30</v>
      </c>
      <c r="CF145" s="2">
        <v>0</v>
      </c>
      <c r="CG145" s="2">
        <v>0</v>
      </c>
      <c r="CH145" s="2"/>
      <c r="CI145" s="2"/>
      <c r="CJ145" s="2"/>
      <c r="CK145" s="2"/>
      <c r="CL145" s="2"/>
      <c r="CM145" s="2">
        <v>0</v>
      </c>
      <c r="CN145" s="2" t="s">
        <v>6</v>
      </c>
      <c r="CO145" s="2">
        <v>0</v>
      </c>
      <c r="CP145" s="2">
        <f t="shared" ref="CP145:CP176" si="185">(P145+Q145+S145)</f>
        <v>1508.7399999999998</v>
      </c>
      <c r="CQ145" s="2">
        <f t="shared" ref="CQ145:CQ176" si="186">ROUND((ROUND((AC145*AW145*1),2)*BC145),2)</f>
        <v>0.89</v>
      </c>
      <c r="CR145" s="2">
        <f t="shared" ref="CR145:CR174" si="187">(ROUND((ROUND(((ET145)*AV145*1),2)*BB145),2)+ROUND((ROUND(((AE145-(EU145))*AV145*1),2)*BS145),2))</f>
        <v>696.65</v>
      </c>
      <c r="CS145" s="2">
        <f t="shared" ref="CS145:CS176" si="188">ROUND((ROUND((AE145*AV145*1),2)*BS145),2)</f>
        <v>62.75</v>
      </c>
      <c r="CT145" s="2">
        <f t="shared" ref="CT145:CT176" si="189">ROUND((ROUND((AF145*AV145*1),2)*BA145),2)</f>
        <v>298.72000000000003</v>
      </c>
      <c r="CU145" s="2">
        <f t="shared" ref="CU145:CU176" si="190">AG145</f>
        <v>0</v>
      </c>
      <c r="CV145" s="2">
        <f t="shared" ref="CV145:CV176" si="191">(AH145*AV145)</f>
        <v>29.001899999999996</v>
      </c>
      <c r="CW145" s="2">
        <f t="shared" ref="CW145:CW176" si="192">AI145</f>
        <v>0</v>
      </c>
      <c r="CX145" s="2">
        <f t="shared" ref="CX145:CX176" si="193">AJ145</f>
        <v>0</v>
      </c>
      <c r="CY145" s="2">
        <f>((S145*BZ145)/100)</f>
        <v>728.33179999999993</v>
      </c>
      <c r="CZ145" s="2">
        <f>((S145*CA145)/100)</f>
        <v>484.04659999999996</v>
      </c>
      <c r="DA145" s="2"/>
      <c r="DB145" s="2"/>
      <c r="DC145" s="2" t="s">
        <v>6</v>
      </c>
      <c r="DD145" s="2" t="s">
        <v>6</v>
      </c>
      <c r="DE145" s="2" t="s">
        <v>6</v>
      </c>
      <c r="DF145" s="2" t="s">
        <v>6</v>
      </c>
      <c r="DG145" s="2" t="s">
        <v>6</v>
      </c>
      <c r="DH145" s="2" t="s">
        <v>6</v>
      </c>
      <c r="DI145" s="2" t="s">
        <v>6</v>
      </c>
      <c r="DJ145" s="2" t="s">
        <v>6</v>
      </c>
      <c r="DK145" s="2" t="s">
        <v>6</v>
      </c>
      <c r="DL145" s="2" t="s">
        <v>6</v>
      </c>
      <c r="DM145" s="2" t="s">
        <v>6</v>
      </c>
      <c r="DN145" s="2">
        <v>0</v>
      </c>
      <c r="DO145" s="2">
        <v>0</v>
      </c>
      <c r="DP145" s="2">
        <v>1</v>
      </c>
      <c r="DQ145" s="2">
        <v>1</v>
      </c>
      <c r="DR145" s="2"/>
      <c r="DS145" s="2"/>
      <c r="DT145" s="2"/>
      <c r="DU145" s="2">
        <v>1005</v>
      </c>
      <c r="DV145" s="2" t="s">
        <v>149</v>
      </c>
      <c r="DW145" s="2" t="s">
        <v>149</v>
      </c>
      <c r="DX145" s="2">
        <v>1000</v>
      </c>
      <c r="DY145" s="2"/>
      <c r="DZ145" s="2" t="s">
        <v>6</v>
      </c>
      <c r="EA145" s="2" t="s">
        <v>6</v>
      </c>
      <c r="EB145" s="2" t="s">
        <v>6</v>
      </c>
      <c r="EC145" s="2" t="s">
        <v>6</v>
      </c>
      <c r="ED145" s="2"/>
      <c r="EE145" s="2">
        <v>69252791</v>
      </c>
      <c r="EF145" s="2">
        <v>30</v>
      </c>
      <c r="EG145" s="2" t="s">
        <v>29</v>
      </c>
      <c r="EH145" s="2">
        <v>0</v>
      </c>
      <c r="EI145" s="2" t="s">
        <v>6</v>
      </c>
      <c r="EJ145" s="2">
        <v>1</v>
      </c>
      <c r="EK145" s="2">
        <v>166</v>
      </c>
      <c r="EL145" s="2" t="s">
        <v>151</v>
      </c>
      <c r="EM145" s="2" t="s">
        <v>152</v>
      </c>
      <c r="EN145" s="2"/>
      <c r="EO145" s="2" t="s">
        <v>6</v>
      </c>
      <c r="EP145" s="2"/>
      <c r="EQ145" s="2">
        <v>0</v>
      </c>
      <c r="ER145" s="2">
        <v>951.58</v>
      </c>
      <c r="ES145" s="2">
        <v>0.89</v>
      </c>
      <c r="ET145" s="2">
        <v>665.38</v>
      </c>
      <c r="EU145" s="2">
        <v>59.93</v>
      </c>
      <c r="EV145" s="2">
        <v>285.31</v>
      </c>
      <c r="EW145" s="2">
        <v>27.7</v>
      </c>
      <c r="EX145" s="2">
        <v>0</v>
      </c>
      <c r="EY145" s="2">
        <v>0</v>
      </c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>
        <v>0</v>
      </c>
      <c r="FR145" s="2">
        <f t="shared" ref="FR145:FR176" si="194">ROUND(IF(BI145=3,GM145,0),2)</f>
        <v>0</v>
      </c>
      <c r="FS145" s="2">
        <v>0</v>
      </c>
      <c r="FT145" s="2"/>
      <c r="FU145" s="2"/>
      <c r="FV145" s="2"/>
      <c r="FW145" s="2"/>
      <c r="FX145" s="2">
        <v>161</v>
      </c>
      <c r="FY145" s="2">
        <v>107</v>
      </c>
      <c r="FZ145" s="2"/>
      <c r="GA145" s="2" t="s">
        <v>6</v>
      </c>
      <c r="GB145" s="2"/>
      <c r="GC145" s="2"/>
      <c r="GD145" s="2">
        <v>0</v>
      </c>
      <c r="GE145" s="2"/>
      <c r="GF145" s="2">
        <v>-422459187</v>
      </c>
      <c r="GG145" s="2">
        <v>2</v>
      </c>
      <c r="GH145" s="2">
        <v>1</v>
      </c>
      <c r="GI145" s="2">
        <v>-2</v>
      </c>
      <c r="GJ145" s="2">
        <v>0</v>
      </c>
      <c r="GK145" s="2">
        <f>ROUND(R145*(R12)/100,2)</f>
        <v>166.29</v>
      </c>
      <c r="GL145" s="2">
        <f t="shared" ref="GL145:GL176" si="195">ROUND(IF(AND(BH145=3,BI145=3,FS145&lt;&gt;0),P145,0),2)</f>
        <v>0</v>
      </c>
      <c r="GM145" s="2">
        <f t="shared" ref="GM145:GM176" si="196">ROUND(O145+X145+Y145+GK145,2)+GX145</f>
        <v>2887.41</v>
      </c>
      <c r="GN145" s="2">
        <f t="shared" ref="GN145:GN176" si="197">IF(OR(BI145=0,BI145=1),GM145-GX145,0)</f>
        <v>2887.41</v>
      </c>
      <c r="GO145" s="2">
        <f t="shared" ref="GO145:GO176" si="198">IF(BI145=2,GM145-GX145,0)</f>
        <v>0</v>
      </c>
      <c r="GP145" s="2">
        <f t="shared" ref="GP145:GP176" si="199">IF(BI145=4,GM145-GX145,0)</f>
        <v>0</v>
      </c>
      <c r="GQ145" s="2"/>
      <c r="GR145" s="2">
        <v>0</v>
      </c>
      <c r="GS145" s="2">
        <v>3</v>
      </c>
      <c r="GT145" s="2">
        <v>0</v>
      </c>
      <c r="GU145" s="2" t="s">
        <v>6</v>
      </c>
      <c r="GV145" s="2">
        <f t="shared" ref="GV145:GV174" si="200">ROUND((GT145),6)</f>
        <v>0</v>
      </c>
      <c r="GW145" s="2">
        <v>1</v>
      </c>
      <c r="GX145" s="2">
        <f t="shared" ref="GX145:GX176" si="201">ROUND(HC145*I145,2)</f>
        <v>0</v>
      </c>
      <c r="GY145" s="2"/>
      <c r="GZ145" s="2"/>
      <c r="HA145" s="2">
        <v>0</v>
      </c>
      <c r="HB145" s="2">
        <v>0</v>
      </c>
      <c r="HC145" s="2">
        <f t="shared" ref="HC145:HC176" si="202">GV145*GW145</f>
        <v>0</v>
      </c>
      <c r="HD145" s="2"/>
      <c r="HE145" s="2" t="s">
        <v>6</v>
      </c>
      <c r="HF145" s="2" t="s">
        <v>6</v>
      </c>
      <c r="HG145" s="2"/>
      <c r="HH145" s="2"/>
      <c r="HI145" s="2"/>
      <c r="HJ145" s="2"/>
      <c r="HK145" s="2"/>
      <c r="HL145" s="2"/>
      <c r="HM145" s="2" t="s">
        <v>6</v>
      </c>
      <c r="HN145" s="2" t="s">
        <v>6</v>
      </c>
      <c r="HO145" s="2" t="s">
        <v>6</v>
      </c>
      <c r="HP145" s="2" t="s">
        <v>6</v>
      </c>
      <c r="HQ145" s="2" t="s">
        <v>6</v>
      </c>
      <c r="HR145" s="2"/>
      <c r="HS145" s="2"/>
      <c r="HT145" s="2"/>
      <c r="HU145" s="2"/>
      <c r="HV145" s="2"/>
      <c r="HW145" s="2"/>
      <c r="HX145" s="2"/>
      <c r="HY145" s="2"/>
      <c r="HZ145" s="2"/>
      <c r="IA145" s="2"/>
      <c r="IB145" s="2"/>
      <c r="IC145" s="2"/>
      <c r="ID145" s="2"/>
      <c r="IE145" s="2"/>
      <c r="IF145" s="2"/>
      <c r="IG145" s="2"/>
      <c r="IH145" s="2"/>
      <c r="II145" s="2"/>
      <c r="IJ145" s="2"/>
      <c r="IK145" s="2">
        <v>0</v>
      </c>
      <c r="IL145" s="2"/>
      <c r="IM145" s="2"/>
      <c r="IN145" s="2"/>
      <c r="IO145" s="2"/>
      <c r="IP145" s="2"/>
      <c r="IQ145" s="2"/>
      <c r="IR145" s="2"/>
      <c r="IS145" s="2"/>
      <c r="IT145" s="2"/>
      <c r="IU145" s="2"/>
    </row>
    <row r="146" spans="1:255">
      <c r="A146">
        <v>17</v>
      </c>
      <c r="B146">
        <v>1</v>
      </c>
      <c r="E146" t="s">
        <v>146</v>
      </c>
      <c r="F146" t="s">
        <v>147</v>
      </c>
      <c r="G146" t="s">
        <v>148</v>
      </c>
      <c r="H146" t="s">
        <v>149</v>
      </c>
      <c r="I146">
        <f>ROUND((1514.4)/1000,9)</f>
        <v>1.5144</v>
      </c>
      <c r="J146">
        <v>0</v>
      </c>
      <c r="K146">
        <f>ROUND((1514.4)/1000,9)</f>
        <v>1.5144</v>
      </c>
      <c r="O146">
        <f t="shared" si="165"/>
        <v>35376.559999999998</v>
      </c>
      <c r="P146">
        <f t="shared" si="166"/>
        <v>10.8</v>
      </c>
      <c r="Q146">
        <f t="shared" si="167"/>
        <v>14253.19</v>
      </c>
      <c r="R146">
        <f t="shared" si="168"/>
        <v>4434.58</v>
      </c>
      <c r="S146">
        <f t="shared" si="169"/>
        <v>21112.57</v>
      </c>
      <c r="T146">
        <f t="shared" si="170"/>
        <v>0</v>
      </c>
      <c r="U146">
        <f t="shared" si="171"/>
        <v>43.920477359999992</v>
      </c>
      <c r="V146">
        <f t="shared" si="172"/>
        <v>0</v>
      </c>
      <c r="W146">
        <f t="shared" si="173"/>
        <v>0</v>
      </c>
      <c r="X146">
        <f t="shared" si="174"/>
        <v>28290.84</v>
      </c>
      <c r="Y146">
        <f t="shared" si="175"/>
        <v>11611.91</v>
      </c>
      <c r="AA146">
        <v>70322059</v>
      </c>
      <c r="AB146">
        <f t="shared" si="176"/>
        <v>951.58</v>
      </c>
      <c r="AC146">
        <f t="shared" si="177"/>
        <v>0.89</v>
      </c>
      <c r="AD146">
        <f t="shared" si="178"/>
        <v>665.38</v>
      </c>
      <c r="AE146">
        <f t="shared" si="179"/>
        <v>59.93</v>
      </c>
      <c r="AF146">
        <f t="shared" si="180"/>
        <v>285.31</v>
      </c>
      <c r="AG146">
        <f t="shared" si="181"/>
        <v>0</v>
      </c>
      <c r="AH146">
        <f t="shared" si="182"/>
        <v>27.7</v>
      </c>
      <c r="AI146">
        <f t="shared" si="183"/>
        <v>0</v>
      </c>
      <c r="AJ146">
        <f t="shared" si="184"/>
        <v>0</v>
      </c>
      <c r="AK146">
        <v>951.58</v>
      </c>
      <c r="AL146">
        <v>0.89</v>
      </c>
      <c r="AM146">
        <v>665.38</v>
      </c>
      <c r="AN146">
        <v>59.93</v>
      </c>
      <c r="AO146">
        <v>285.31</v>
      </c>
      <c r="AP146">
        <v>0</v>
      </c>
      <c r="AQ146">
        <v>27.7</v>
      </c>
      <c r="AR146">
        <v>0</v>
      </c>
      <c r="AS146">
        <v>0</v>
      </c>
      <c r="AT146">
        <v>134</v>
      </c>
      <c r="AU146">
        <v>55</v>
      </c>
      <c r="AV146">
        <v>1.0469999999999999</v>
      </c>
      <c r="AW146">
        <v>1.002</v>
      </c>
      <c r="AZ146">
        <v>1</v>
      </c>
      <c r="BA146">
        <v>46.67</v>
      </c>
      <c r="BB146">
        <v>13.51</v>
      </c>
      <c r="BC146">
        <v>8</v>
      </c>
      <c r="BD146" t="s">
        <v>6</v>
      </c>
      <c r="BE146" t="s">
        <v>6</v>
      </c>
      <c r="BF146" t="s">
        <v>6</v>
      </c>
      <c r="BG146" t="s">
        <v>6</v>
      </c>
      <c r="BH146">
        <v>0</v>
      </c>
      <c r="BI146">
        <v>1</v>
      </c>
      <c r="BJ146" t="s">
        <v>150</v>
      </c>
      <c r="BM146">
        <v>166</v>
      </c>
      <c r="BN146">
        <v>0</v>
      </c>
      <c r="BO146" t="s">
        <v>147</v>
      </c>
      <c r="BP146">
        <v>1</v>
      </c>
      <c r="BQ146">
        <v>30</v>
      </c>
      <c r="BR146">
        <v>0</v>
      </c>
      <c r="BS146">
        <v>46.67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6</v>
      </c>
      <c r="BZ146">
        <v>134</v>
      </c>
      <c r="CA146">
        <v>55</v>
      </c>
      <c r="CB146" t="s">
        <v>6</v>
      </c>
      <c r="CE146">
        <v>30</v>
      </c>
      <c r="CF146">
        <v>0</v>
      </c>
      <c r="CG146">
        <v>0</v>
      </c>
      <c r="CM146">
        <v>0</v>
      </c>
      <c r="CN146" t="s">
        <v>6</v>
      </c>
      <c r="CO146">
        <v>0</v>
      </c>
      <c r="CP146">
        <f t="shared" si="185"/>
        <v>35376.559999999998</v>
      </c>
      <c r="CQ146">
        <f t="shared" si="186"/>
        <v>7.12</v>
      </c>
      <c r="CR146">
        <f t="shared" si="187"/>
        <v>9411.74</v>
      </c>
      <c r="CS146">
        <f t="shared" si="188"/>
        <v>2928.54</v>
      </c>
      <c r="CT146">
        <f t="shared" si="189"/>
        <v>13941.26</v>
      </c>
      <c r="CU146">
        <f t="shared" si="190"/>
        <v>0</v>
      </c>
      <c r="CV146">
        <f t="shared" si="191"/>
        <v>29.001899999999996</v>
      </c>
      <c r="CW146">
        <f t="shared" si="192"/>
        <v>0</v>
      </c>
      <c r="CX146">
        <f t="shared" si="193"/>
        <v>0</v>
      </c>
      <c r="CY146">
        <f>S146*(BZ146/100)</f>
        <v>28290.843800000002</v>
      </c>
      <c r="CZ146">
        <f>S146*(CA146/100)</f>
        <v>11611.913500000001</v>
      </c>
      <c r="DC146" t="s">
        <v>6</v>
      </c>
      <c r="DD146" t="s">
        <v>6</v>
      </c>
      <c r="DE146" t="s">
        <v>6</v>
      </c>
      <c r="DF146" t="s">
        <v>6</v>
      </c>
      <c r="DG146" t="s">
        <v>6</v>
      </c>
      <c r="DH146" t="s">
        <v>6</v>
      </c>
      <c r="DI146" t="s">
        <v>6</v>
      </c>
      <c r="DJ146" t="s">
        <v>6</v>
      </c>
      <c r="DK146" t="s">
        <v>6</v>
      </c>
      <c r="DL146" t="s">
        <v>6</v>
      </c>
      <c r="DM146" t="s">
        <v>6</v>
      </c>
      <c r="DN146">
        <v>161</v>
      </c>
      <c r="DO146">
        <v>107</v>
      </c>
      <c r="DP146">
        <v>1.0469999999999999</v>
      </c>
      <c r="DQ146">
        <v>1.002</v>
      </c>
      <c r="DU146">
        <v>1005</v>
      </c>
      <c r="DV146" t="s">
        <v>149</v>
      </c>
      <c r="DW146" t="s">
        <v>149</v>
      </c>
      <c r="DX146">
        <v>1000</v>
      </c>
      <c r="DZ146" t="s">
        <v>6</v>
      </c>
      <c r="EA146" t="s">
        <v>6</v>
      </c>
      <c r="EB146" t="s">
        <v>6</v>
      </c>
      <c r="EC146" t="s">
        <v>6</v>
      </c>
      <c r="EE146">
        <v>69252791</v>
      </c>
      <c r="EF146">
        <v>30</v>
      </c>
      <c r="EG146" t="s">
        <v>29</v>
      </c>
      <c r="EH146">
        <v>0</v>
      </c>
      <c r="EI146" t="s">
        <v>6</v>
      </c>
      <c r="EJ146">
        <v>1</v>
      </c>
      <c r="EK146">
        <v>166</v>
      </c>
      <c r="EL146" t="s">
        <v>151</v>
      </c>
      <c r="EM146" t="s">
        <v>152</v>
      </c>
      <c r="EO146" t="s">
        <v>6</v>
      </c>
      <c r="EQ146">
        <v>0</v>
      </c>
      <c r="ER146">
        <v>951.58</v>
      </c>
      <c r="ES146">
        <v>0.89</v>
      </c>
      <c r="ET146">
        <v>665.38</v>
      </c>
      <c r="EU146">
        <v>59.93</v>
      </c>
      <c r="EV146">
        <v>285.31</v>
      </c>
      <c r="EW146">
        <v>27.7</v>
      </c>
      <c r="EX146">
        <v>0</v>
      </c>
      <c r="EY146">
        <v>0</v>
      </c>
      <c r="FQ146">
        <v>0</v>
      </c>
      <c r="FR146">
        <f t="shared" si="194"/>
        <v>0</v>
      </c>
      <c r="FS146">
        <v>0</v>
      </c>
      <c r="FX146">
        <v>161</v>
      </c>
      <c r="FY146">
        <v>107</v>
      </c>
      <c r="GA146" t="s">
        <v>6</v>
      </c>
      <c r="GD146">
        <v>0</v>
      </c>
      <c r="GF146">
        <v>-422459187</v>
      </c>
      <c r="GG146">
        <v>2</v>
      </c>
      <c r="GH146">
        <v>1</v>
      </c>
      <c r="GI146">
        <v>2</v>
      </c>
      <c r="GJ146">
        <v>0</v>
      </c>
      <c r="GK146">
        <f>ROUND(R146*(S12)/100,2)</f>
        <v>7095.33</v>
      </c>
      <c r="GL146">
        <f t="shared" si="195"/>
        <v>0</v>
      </c>
      <c r="GM146">
        <f t="shared" si="196"/>
        <v>82374.64</v>
      </c>
      <c r="GN146">
        <f t="shared" si="197"/>
        <v>82374.64</v>
      </c>
      <c r="GO146">
        <f t="shared" si="198"/>
        <v>0</v>
      </c>
      <c r="GP146">
        <f t="shared" si="199"/>
        <v>0</v>
      </c>
      <c r="GR146">
        <v>0</v>
      </c>
      <c r="GS146">
        <v>0</v>
      </c>
      <c r="GT146">
        <v>0</v>
      </c>
      <c r="GU146" t="s">
        <v>6</v>
      </c>
      <c r="GV146">
        <f t="shared" si="200"/>
        <v>0</v>
      </c>
      <c r="GW146">
        <v>1</v>
      </c>
      <c r="GX146">
        <f t="shared" si="201"/>
        <v>0</v>
      </c>
      <c r="HA146">
        <v>0</v>
      </c>
      <c r="HB146">
        <v>0</v>
      </c>
      <c r="HC146">
        <f t="shared" si="202"/>
        <v>0</v>
      </c>
      <c r="HE146" t="s">
        <v>6</v>
      </c>
      <c r="HF146" t="s">
        <v>6</v>
      </c>
      <c r="HM146" t="s">
        <v>6</v>
      </c>
      <c r="HN146" t="s">
        <v>6</v>
      </c>
      <c r="HO146" t="s">
        <v>6</v>
      </c>
      <c r="HP146" t="s">
        <v>6</v>
      </c>
      <c r="HQ146" t="s">
        <v>6</v>
      </c>
      <c r="IK146">
        <v>0</v>
      </c>
    </row>
    <row r="147" spans="1:255">
      <c r="A147" s="2">
        <v>18</v>
      </c>
      <c r="B147" s="2">
        <v>1</v>
      </c>
      <c r="C147" s="2"/>
      <c r="D147" s="2"/>
      <c r="E147" s="2" t="s">
        <v>153</v>
      </c>
      <c r="F147" s="2" t="s">
        <v>154</v>
      </c>
      <c r="G147" s="2" t="s">
        <v>155</v>
      </c>
      <c r="H147" s="2" t="s">
        <v>156</v>
      </c>
      <c r="I147" s="2">
        <f>I145*J147</f>
        <v>1514.4</v>
      </c>
      <c r="J147" s="2">
        <v>1000.0000000000001</v>
      </c>
      <c r="K147" s="2">
        <v>1000</v>
      </c>
      <c r="L147" s="2"/>
      <c r="M147" s="2"/>
      <c r="N147" s="2"/>
      <c r="O147" s="2">
        <f t="shared" si="165"/>
        <v>21046.74</v>
      </c>
      <c r="P147" s="2">
        <f t="shared" si="166"/>
        <v>21046.74</v>
      </c>
      <c r="Q147" s="2">
        <f t="shared" si="167"/>
        <v>0</v>
      </c>
      <c r="R147" s="2">
        <f t="shared" si="168"/>
        <v>0</v>
      </c>
      <c r="S147" s="2">
        <f t="shared" si="169"/>
        <v>0</v>
      </c>
      <c r="T147" s="2">
        <f t="shared" si="170"/>
        <v>0</v>
      </c>
      <c r="U147" s="2">
        <f t="shared" si="171"/>
        <v>0</v>
      </c>
      <c r="V147" s="2">
        <f t="shared" si="172"/>
        <v>0</v>
      </c>
      <c r="W147" s="2">
        <f t="shared" si="173"/>
        <v>0</v>
      </c>
      <c r="X147" s="2">
        <f t="shared" si="174"/>
        <v>0</v>
      </c>
      <c r="Y147" s="2">
        <f t="shared" si="175"/>
        <v>0</v>
      </c>
      <c r="Z147" s="2"/>
      <c r="AA147" s="2">
        <v>70322058</v>
      </c>
      <c r="AB147" s="2">
        <f t="shared" si="176"/>
        <v>13.87</v>
      </c>
      <c r="AC147" s="2">
        <f t="shared" si="177"/>
        <v>13.87</v>
      </c>
      <c r="AD147" s="2">
        <f t="shared" si="178"/>
        <v>0</v>
      </c>
      <c r="AE147" s="2">
        <f t="shared" si="179"/>
        <v>0</v>
      </c>
      <c r="AF147" s="2">
        <f t="shared" si="180"/>
        <v>0</v>
      </c>
      <c r="AG147" s="2">
        <f t="shared" si="181"/>
        <v>0</v>
      </c>
      <c r="AH147" s="2">
        <f t="shared" si="182"/>
        <v>0</v>
      </c>
      <c r="AI147" s="2">
        <f t="shared" si="183"/>
        <v>0</v>
      </c>
      <c r="AJ147" s="2">
        <f t="shared" si="184"/>
        <v>0</v>
      </c>
      <c r="AK147" s="2">
        <v>13.87</v>
      </c>
      <c r="AL147" s="2">
        <v>13.87</v>
      </c>
      <c r="AM147" s="2">
        <v>0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161</v>
      </c>
      <c r="AU147" s="2">
        <v>107</v>
      </c>
      <c r="AV147" s="2">
        <v>1.0469999999999999</v>
      </c>
      <c r="AW147" s="2">
        <v>1.002</v>
      </c>
      <c r="AX147" s="2"/>
      <c r="AY147" s="2"/>
      <c r="AZ147" s="2">
        <v>1</v>
      </c>
      <c r="BA147" s="2">
        <v>1</v>
      </c>
      <c r="BB147" s="2">
        <v>1</v>
      </c>
      <c r="BC147" s="2">
        <v>1</v>
      </c>
      <c r="BD147" s="2" t="s">
        <v>6</v>
      </c>
      <c r="BE147" s="2" t="s">
        <v>6</v>
      </c>
      <c r="BF147" s="2" t="s">
        <v>6</v>
      </c>
      <c r="BG147" s="2" t="s">
        <v>6</v>
      </c>
      <c r="BH147" s="2">
        <v>3</v>
      </c>
      <c r="BI147" s="2">
        <v>1</v>
      </c>
      <c r="BJ147" s="2" t="s">
        <v>157</v>
      </c>
      <c r="BK147" s="2"/>
      <c r="BL147" s="2"/>
      <c r="BM147" s="2">
        <v>166</v>
      </c>
      <c r="BN147" s="2">
        <v>0</v>
      </c>
      <c r="BO147" s="2" t="s">
        <v>6</v>
      </c>
      <c r="BP147" s="2">
        <v>0</v>
      </c>
      <c r="BQ147" s="2">
        <v>30</v>
      </c>
      <c r="BR147" s="2">
        <v>0</v>
      </c>
      <c r="BS147" s="2">
        <v>1</v>
      </c>
      <c r="BT147" s="2">
        <v>1</v>
      </c>
      <c r="BU147" s="2">
        <v>1</v>
      </c>
      <c r="BV147" s="2">
        <v>1</v>
      </c>
      <c r="BW147" s="2">
        <v>1</v>
      </c>
      <c r="BX147" s="2">
        <v>1</v>
      </c>
      <c r="BY147" s="2" t="s">
        <v>6</v>
      </c>
      <c r="BZ147" s="2">
        <v>161</v>
      </c>
      <c r="CA147" s="2">
        <v>107</v>
      </c>
      <c r="CB147" s="2" t="s">
        <v>6</v>
      </c>
      <c r="CC147" s="2"/>
      <c r="CD147" s="2"/>
      <c r="CE147" s="2">
        <v>30</v>
      </c>
      <c r="CF147" s="2">
        <v>0</v>
      </c>
      <c r="CG147" s="2">
        <v>0</v>
      </c>
      <c r="CH147" s="2"/>
      <c r="CI147" s="2"/>
      <c r="CJ147" s="2"/>
      <c r="CK147" s="2"/>
      <c r="CL147" s="2"/>
      <c r="CM147" s="2">
        <v>0</v>
      </c>
      <c r="CN147" s="2" t="s">
        <v>6</v>
      </c>
      <c r="CO147" s="2">
        <v>0</v>
      </c>
      <c r="CP147" s="2">
        <f t="shared" si="185"/>
        <v>21046.74</v>
      </c>
      <c r="CQ147" s="2">
        <f t="shared" si="186"/>
        <v>13.9</v>
      </c>
      <c r="CR147" s="2">
        <f t="shared" si="187"/>
        <v>0</v>
      </c>
      <c r="CS147" s="2">
        <f t="shared" si="188"/>
        <v>0</v>
      </c>
      <c r="CT147" s="2">
        <f t="shared" si="189"/>
        <v>0</v>
      </c>
      <c r="CU147" s="2">
        <f t="shared" si="190"/>
        <v>0</v>
      </c>
      <c r="CV147" s="2">
        <f t="shared" si="191"/>
        <v>0</v>
      </c>
      <c r="CW147" s="2">
        <f t="shared" si="192"/>
        <v>0</v>
      </c>
      <c r="CX147" s="2">
        <f t="shared" si="193"/>
        <v>0</v>
      </c>
      <c r="CY147" s="2">
        <f>((S147*BZ147)/100)</f>
        <v>0</v>
      </c>
      <c r="CZ147" s="2">
        <f>((S147*CA147)/100)</f>
        <v>0</v>
      </c>
      <c r="DA147" s="2"/>
      <c r="DB147" s="2"/>
      <c r="DC147" s="2" t="s">
        <v>6</v>
      </c>
      <c r="DD147" s="2" t="s">
        <v>6</v>
      </c>
      <c r="DE147" s="2" t="s">
        <v>6</v>
      </c>
      <c r="DF147" s="2" t="s">
        <v>6</v>
      </c>
      <c r="DG147" s="2" t="s">
        <v>6</v>
      </c>
      <c r="DH147" s="2" t="s">
        <v>6</v>
      </c>
      <c r="DI147" s="2" t="s">
        <v>6</v>
      </c>
      <c r="DJ147" s="2" t="s">
        <v>6</v>
      </c>
      <c r="DK147" s="2" t="s">
        <v>6</v>
      </c>
      <c r="DL147" s="2" t="s">
        <v>6</v>
      </c>
      <c r="DM147" s="2" t="s">
        <v>6</v>
      </c>
      <c r="DN147" s="2">
        <v>0</v>
      </c>
      <c r="DO147" s="2">
        <v>0</v>
      </c>
      <c r="DP147" s="2">
        <v>1</v>
      </c>
      <c r="DQ147" s="2">
        <v>1</v>
      </c>
      <c r="DR147" s="2"/>
      <c r="DS147" s="2"/>
      <c r="DT147" s="2"/>
      <c r="DU147" s="2">
        <v>1005</v>
      </c>
      <c r="DV147" s="2" t="s">
        <v>156</v>
      </c>
      <c r="DW147" s="2" t="s">
        <v>156</v>
      </c>
      <c r="DX147" s="2">
        <v>1</v>
      </c>
      <c r="DY147" s="2"/>
      <c r="DZ147" s="2" t="s">
        <v>6</v>
      </c>
      <c r="EA147" s="2" t="s">
        <v>6</v>
      </c>
      <c r="EB147" s="2" t="s">
        <v>6</v>
      </c>
      <c r="EC147" s="2" t="s">
        <v>6</v>
      </c>
      <c r="ED147" s="2"/>
      <c r="EE147" s="2">
        <v>69252791</v>
      </c>
      <c r="EF147" s="2">
        <v>30</v>
      </c>
      <c r="EG147" s="2" t="s">
        <v>29</v>
      </c>
      <c r="EH147" s="2">
        <v>0</v>
      </c>
      <c r="EI147" s="2" t="s">
        <v>6</v>
      </c>
      <c r="EJ147" s="2">
        <v>1</v>
      </c>
      <c r="EK147" s="2">
        <v>166</v>
      </c>
      <c r="EL147" s="2" t="s">
        <v>151</v>
      </c>
      <c r="EM147" s="2" t="s">
        <v>152</v>
      </c>
      <c r="EN147" s="2"/>
      <c r="EO147" s="2" t="s">
        <v>6</v>
      </c>
      <c r="EP147" s="2"/>
      <c r="EQ147" s="2">
        <v>0</v>
      </c>
      <c r="ER147" s="2">
        <v>13.87</v>
      </c>
      <c r="ES147" s="2">
        <v>13.87</v>
      </c>
      <c r="ET147" s="2">
        <v>0</v>
      </c>
      <c r="EU147" s="2">
        <v>0</v>
      </c>
      <c r="EV147" s="2">
        <v>0</v>
      </c>
      <c r="EW147" s="2">
        <v>0</v>
      </c>
      <c r="EX147" s="2">
        <v>0</v>
      </c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>
        <v>0</v>
      </c>
      <c r="FR147" s="2">
        <f t="shared" si="194"/>
        <v>0</v>
      </c>
      <c r="FS147" s="2">
        <v>0</v>
      </c>
      <c r="FT147" s="2"/>
      <c r="FU147" s="2"/>
      <c r="FV147" s="2"/>
      <c r="FW147" s="2"/>
      <c r="FX147" s="2">
        <v>161</v>
      </c>
      <c r="FY147" s="2">
        <v>107</v>
      </c>
      <c r="FZ147" s="2"/>
      <c r="GA147" s="2" t="s">
        <v>6</v>
      </c>
      <c r="GB147" s="2"/>
      <c r="GC147" s="2"/>
      <c r="GD147" s="2">
        <v>0</v>
      </c>
      <c r="GE147" s="2"/>
      <c r="GF147" s="2">
        <v>95347054</v>
      </c>
      <c r="GG147" s="2">
        <v>2</v>
      </c>
      <c r="GH147" s="2">
        <v>1</v>
      </c>
      <c r="GI147" s="2">
        <v>-2</v>
      </c>
      <c r="GJ147" s="2">
        <v>0</v>
      </c>
      <c r="GK147" s="2">
        <f>ROUND(R147*(R12)/100,2)</f>
        <v>0</v>
      </c>
      <c r="GL147" s="2">
        <f t="shared" si="195"/>
        <v>0</v>
      </c>
      <c r="GM147" s="2">
        <f t="shared" si="196"/>
        <v>21046.74</v>
      </c>
      <c r="GN147" s="2">
        <f t="shared" si="197"/>
        <v>21046.74</v>
      </c>
      <c r="GO147" s="2">
        <f t="shared" si="198"/>
        <v>0</v>
      </c>
      <c r="GP147" s="2">
        <f t="shared" si="199"/>
        <v>0</v>
      </c>
      <c r="GQ147" s="2"/>
      <c r="GR147" s="2">
        <v>0</v>
      </c>
      <c r="GS147" s="2">
        <v>3</v>
      </c>
      <c r="GT147" s="2">
        <v>0</v>
      </c>
      <c r="GU147" s="2" t="s">
        <v>6</v>
      </c>
      <c r="GV147" s="2">
        <f t="shared" si="200"/>
        <v>0</v>
      </c>
      <c r="GW147" s="2">
        <v>1</v>
      </c>
      <c r="GX147" s="2">
        <f t="shared" si="201"/>
        <v>0</v>
      </c>
      <c r="GY147" s="2"/>
      <c r="GZ147" s="2"/>
      <c r="HA147" s="2">
        <v>0</v>
      </c>
      <c r="HB147" s="2">
        <v>0</v>
      </c>
      <c r="HC147" s="2">
        <f t="shared" si="202"/>
        <v>0</v>
      </c>
      <c r="HD147" s="2"/>
      <c r="HE147" s="2" t="s">
        <v>6</v>
      </c>
      <c r="HF147" s="2" t="s">
        <v>6</v>
      </c>
      <c r="HG147" s="2"/>
      <c r="HH147" s="2"/>
      <c r="HI147" s="2"/>
      <c r="HJ147" s="2"/>
      <c r="HK147" s="2"/>
      <c r="HL147" s="2"/>
      <c r="HM147" s="2" t="s">
        <v>6</v>
      </c>
      <c r="HN147" s="2" t="s">
        <v>6</v>
      </c>
      <c r="HO147" s="2" t="s">
        <v>6</v>
      </c>
      <c r="HP147" s="2" t="s">
        <v>6</v>
      </c>
      <c r="HQ147" s="2" t="s">
        <v>6</v>
      </c>
      <c r="HR147" s="2"/>
      <c r="HS147" s="2"/>
      <c r="HT147" s="2"/>
      <c r="HU147" s="2"/>
      <c r="HV147" s="2"/>
      <c r="HW147" s="2"/>
      <c r="HX147" s="2"/>
      <c r="HY147" s="2"/>
      <c r="HZ147" s="2"/>
      <c r="IA147" s="2"/>
      <c r="IB147" s="2"/>
      <c r="IC147" s="2"/>
      <c r="ID147" s="2"/>
      <c r="IE147" s="2"/>
      <c r="IF147" s="2"/>
      <c r="IG147" s="2"/>
      <c r="IH147" s="2"/>
      <c r="II147" s="2"/>
      <c r="IJ147" s="2"/>
      <c r="IK147" s="2">
        <v>0</v>
      </c>
      <c r="IL147" s="2"/>
      <c r="IM147" s="2"/>
      <c r="IN147" s="2"/>
      <c r="IO147" s="2"/>
      <c r="IP147" s="2"/>
      <c r="IQ147" s="2"/>
      <c r="IR147" s="2"/>
      <c r="IS147" s="2"/>
      <c r="IT147" s="2"/>
      <c r="IU147" s="2"/>
    </row>
    <row r="148" spans="1:255">
      <c r="A148">
        <v>18</v>
      </c>
      <c r="B148">
        <v>1</v>
      </c>
      <c r="E148" t="s">
        <v>153</v>
      </c>
      <c r="F148" t="s">
        <v>154</v>
      </c>
      <c r="G148" t="s">
        <v>155</v>
      </c>
      <c r="H148" t="s">
        <v>156</v>
      </c>
      <c r="I148">
        <f>I146*J148</f>
        <v>1514.4</v>
      </c>
      <c r="J148">
        <v>1000.0000000000001</v>
      </c>
      <c r="K148">
        <v>1000</v>
      </c>
      <c r="O148">
        <f t="shared" si="165"/>
        <v>79135.740000000005</v>
      </c>
      <c r="P148">
        <f t="shared" si="166"/>
        <v>79135.740000000005</v>
      </c>
      <c r="Q148">
        <f t="shared" si="167"/>
        <v>0</v>
      </c>
      <c r="R148">
        <f t="shared" si="168"/>
        <v>0</v>
      </c>
      <c r="S148">
        <f t="shared" si="169"/>
        <v>0</v>
      </c>
      <c r="T148">
        <f t="shared" si="170"/>
        <v>0</v>
      </c>
      <c r="U148">
        <f t="shared" si="171"/>
        <v>0</v>
      </c>
      <c r="V148">
        <f t="shared" si="172"/>
        <v>0</v>
      </c>
      <c r="W148">
        <f t="shared" si="173"/>
        <v>0</v>
      </c>
      <c r="X148">
        <f t="shared" si="174"/>
        <v>0</v>
      </c>
      <c r="Y148">
        <f t="shared" si="175"/>
        <v>0</v>
      </c>
      <c r="AA148">
        <v>70322059</v>
      </c>
      <c r="AB148">
        <f t="shared" si="176"/>
        <v>13.87</v>
      </c>
      <c r="AC148">
        <f t="shared" si="177"/>
        <v>13.87</v>
      </c>
      <c r="AD148">
        <f t="shared" si="178"/>
        <v>0</v>
      </c>
      <c r="AE148">
        <f t="shared" si="179"/>
        <v>0</v>
      </c>
      <c r="AF148">
        <f t="shared" si="180"/>
        <v>0</v>
      </c>
      <c r="AG148">
        <f t="shared" si="181"/>
        <v>0</v>
      </c>
      <c r="AH148">
        <f t="shared" si="182"/>
        <v>0</v>
      </c>
      <c r="AI148">
        <f t="shared" si="183"/>
        <v>0</v>
      </c>
      <c r="AJ148">
        <f t="shared" si="184"/>
        <v>0</v>
      </c>
      <c r="AK148">
        <v>13.87</v>
      </c>
      <c r="AL148">
        <v>13.87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1.0469999999999999</v>
      </c>
      <c r="AW148">
        <v>1.002</v>
      </c>
      <c r="AZ148">
        <v>1</v>
      </c>
      <c r="BA148">
        <v>1</v>
      </c>
      <c r="BB148">
        <v>1</v>
      </c>
      <c r="BC148">
        <v>3.76</v>
      </c>
      <c r="BD148" t="s">
        <v>6</v>
      </c>
      <c r="BE148" t="s">
        <v>6</v>
      </c>
      <c r="BF148" t="s">
        <v>6</v>
      </c>
      <c r="BG148" t="s">
        <v>6</v>
      </c>
      <c r="BH148">
        <v>3</v>
      </c>
      <c r="BI148">
        <v>1</v>
      </c>
      <c r="BJ148" t="s">
        <v>157</v>
      </c>
      <c r="BM148">
        <v>166</v>
      </c>
      <c r="BN148">
        <v>0</v>
      </c>
      <c r="BO148" t="s">
        <v>154</v>
      </c>
      <c r="BP148">
        <v>1</v>
      </c>
      <c r="BQ148">
        <v>30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6</v>
      </c>
      <c r="BZ148">
        <v>0</v>
      </c>
      <c r="CA148">
        <v>0</v>
      </c>
      <c r="CB148" t="s">
        <v>6</v>
      </c>
      <c r="CE148">
        <v>30</v>
      </c>
      <c r="CF148">
        <v>0</v>
      </c>
      <c r="CG148">
        <v>0</v>
      </c>
      <c r="CM148">
        <v>0</v>
      </c>
      <c r="CN148" t="s">
        <v>6</v>
      </c>
      <c r="CO148">
        <v>0</v>
      </c>
      <c r="CP148">
        <f t="shared" si="185"/>
        <v>79135.740000000005</v>
      </c>
      <c r="CQ148">
        <f t="shared" si="186"/>
        <v>52.26</v>
      </c>
      <c r="CR148">
        <f t="shared" si="187"/>
        <v>0</v>
      </c>
      <c r="CS148">
        <f t="shared" si="188"/>
        <v>0</v>
      </c>
      <c r="CT148">
        <f t="shared" si="189"/>
        <v>0</v>
      </c>
      <c r="CU148">
        <f t="shared" si="190"/>
        <v>0</v>
      </c>
      <c r="CV148">
        <f t="shared" si="191"/>
        <v>0</v>
      </c>
      <c r="CW148">
        <f t="shared" si="192"/>
        <v>0</v>
      </c>
      <c r="CX148">
        <f t="shared" si="193"/>
        <v>0</v>
      </c>
      <c r="CY148">
        <f>S148*(BZ148/100)</f>
        <v>0</v>
      </c>
      <c r="CZ148">
        <f>S148*(CA148/100)</f>
        <v>0</v>
      </c>
      <c r="DC148" t="s">
        <v>6</v>
      </c>
      <c r="DD148" t="s">
        <v>6</v>
      </c>
      <c r="DE148" t="s">
        <v>6</v>
      </c>
      <c r="DF148" t="s">
        <v>6</v>
      </c>
      <c r="DG148" t="s">
        <v>6</v>
      </c>
      <c r="DH148" t="s">
        <v>6</v>
      </c>
      <c r="DI148" t="s">
        <v>6</v>
      </c>
      <c r="DJ148" t="s">
        <v>6</v>
      </c>
      <c r="DK148" t="s">
        <v>6</v>
      </c>
      <c r="DL148" t="s">
        <v>6</v>
      </c>
      <c r="DM148" t="s">
        <v>6</v>
      </c>
      <c r="DN148">
        <v>161</v>
      </c>
      <c r="DO148">
        <v>107</v>
      </c>
      <c r="DP148">
        <v>1.0469999999999999</v>
      </c>
      <c r="DQ148">
        <v>1.002</v>
      </c>
      <c r="DU148">
        <v>1005</v>
      </c>
      <c r="DV148" t="s">
        <v>156</v>
      </c>
      <c r="DW148" t="s">
        <v>156</v>
      </c>
      <c r="DX148">
        <v>1</v>
      </c>
      <c r="DZ148" t="s">
        <v>6</v>
      </c>
      <c r="EA148" t="s">
        <v>6</v>
      </c>
      <c r="EB148" t="s">
        <v>6</v>
      </c>
      <c r="EC148" t="s">
        <v>6</v>
      </c>
      <c r="EE148">
        <v>69252791</v>
      </c>
      <c r="EF148">
        <v>30</v>
      </c>
      <c r="EG148" t="s">
        <v>29</v>
      </c>
      <c r="EH148">
        <v>0</v>
      </c>
      <c r="EI148" t="s">
        <v>6</v>
      </c>
      <c r="EJ148">
        <v>1</v>
      </c>
      <c r="EK148">
        <v>166</v>
      </c>
      <c r="EL148" t="s">
        <v>151</v>
      </c>
      <c r="EM148" t="s">
        <v>152</v>
      </c>
      <c r="EO148" t="s">
        <v>6</v>
      </c>
      <c r="EQ148">
        <v>0</v>
      </c>
      <c r="ER148">
        <v>13.87</v>
      </c>
      <c r="ES148">
        <v>13.87</v>
      </c>
      <c r="ET148">
        <v>0</v>
      </c>
      <c r="EU148">
        <v>0</v>
      </c>
      <c r="EV148">
        <v>0</v>
      </c>
      <c r="EW148">
        <v>0</v>
      </c>
      <c r="EX148">
        <v>0</v>
      </c>
      <c r="FQ148">
        <v>0</v>
      </c>
      <c r="FR148">
        <f t="shared" si="194"/>
        <v>0</v>
      </c>
      <c r="FS148">
        <v>0</v>
      </c>
      <c r="FX148">
        <v>161</v>
      </c>
      <c r="FY148">
        <v>107</v>
      </c>
      <c r="GA148" t="s">
        <v>6</v>
      </c>
      <c r="GD148">
        <v>0</v>
      </c>
      <c r="GF148">
        <v>95347054</v>
      </c>
      <c r="GG148">
        <v>2</v>
      </c>
      <c r="GH148">
        <v>1</v>
      </c>
      <c r="GI148">
        <v>2</v>
      </c>
      <c r="GJ148">
        <v>0</v>
      </c>
      <c r="GK148">
        <f>ROUND(R148*(S12)/100,2)</f>
        <v>0</v>
      </c>
      <c r="GL148">
        <f t="shared" si="195"/>
        <v>0</v>
      </c>
      <c r="GM148">
        <f t="shared" si="196"/>
        <v>79135.740000000005</v>
      </c>
      <c r="GN148">
        <f t="shared" si="197"/>
        <v>79135.740000000005</v>
      </c>
      <c r="GO148">
        <f t="shared" si="198"/>
        <v>0</v>
      </c>
      <c r="GP148">
        <f t="shared" si="199"/>
        <v>0</v>
      </c>
      <c r="GR148">
        <v>0</v>
      </c>
      <c r="GS148">
        <v>0</v>
      </c>
      <c r="GT148">
        <v>0</v>
      </c>
      <c r="GU148" t="s">
        <v>6</v>
      </c>
      <c r="GV148">
        <f t="shared" si="200"/>
        <v>0</v>
      </c>
      <c r="GW148">
        <v>1</v>
      </c>
      <c r="GX148">
        <f t="shared" si="201"/>
        <v>0</v>
      </c>
      <c r="HA148">
        <v>0</v>
      </c>
      <c r="HB148">
        <v>0</v>
      </c>
      <c r="HC148">
        <f t="shared" si="202"/>
        <v>0</v>
      </c>
      <c r="HE148" t="s">
        <v>6</v>
      </c>
      <c r="HF148" t="s">
        <v>6</v>
      </c>
      <c r="HM148" t="s">
        <v>6</v>
      </c>
      <c r="HN148" t="s">
        <v>6</v>
      </c>
      <c r="HO148" t="s">
        <v>6</v>
      </c>
      <c r="HP148" t="s">
        <v>6</v>
      </c>
      <c r="HQ148" t="s">
        <v>6</v>
      </c>
      <c r="IK148">
        <v>0</v>
      </c>
    </row>
    <row r="149" spans="1:255">
      <c r="A149" s="2">
        <v>18</v>
      </c>
      <c r="B149" s="2">
        <v>1</v>
      </c>
      <c r="C149" s="2"/>
      <c r="D149" s="2"/>
      <c r="E149" s="2" t="s">
        <v>158</v>
      </c>
      <c r="F149" s="2" t="s">
        <v>159</v>
      </c>
      <c r="G149" s="2" t="s">
        <v>160</v>
      </c>
      <c r="H149" s="2" t="s">
        <v>156</v>
      </c>
      <c r="I149" s="2">
        <f>I145*J149</f>
        <v>0</v>
      </c>
      <c r="J149" s="2">
        <v>0</v>
      </c>
      <c r="K149" s="2">
        <v>0</v>
      </c>
      <c r="L149" s="2"/>
      <c r="M149" s="2"/>
      <c r="N149" s="2"/>
      <c r="O149" s="2">
        <f t="shared" si="165"/>
        <v>0</v>
      </c>
      <c r="P149" s="2">
        <f t="shared" si="166"/>
        <v>0</v>
      </c>
      <c r="Q149" s="2">
        <f t="shared" si="167"/>
        <v>0</v>
      </c>
      <c r="R149" s="2">
        <f t="shared" si="168"/>
        <v>0</v>
      </c>
      <c r="S149" s="2">
        <f t="shared" si="169"/>
        <v>0</v>
      </c>
      <c r="T149" s="2">
        <f t="shared" si="170"/>
        <v>0</v>
      </c>
      <c r="U149" s="2">
        <f t="shared" si="171"/>
        <v>0</v>
      </c>
      <c r="V149" s="2">
        <f t="shared" si="172"/>
        <v>0</v>
      </c>
      <c r="W149" s="2">
        <f t="shared" si="173"/>
        <v>0</v>
      </c>
      <c r="X149" s="2">
        <f t="shared" si="174"/>
        <v>0</v>
      </c>
      <c r="Y149" s="2">
        <f t="shared" si="175"/>
        <v>0</v>
      </c>
      <c r="Z149" s="2"/>
      <c r="AA149" s="2">
        <v>70322058</v>
      </c>
      <c r="AB149" s="2">
        <f t="shared" si="176"/>
        <v>13.32</v>
      </c>
      <c r="AC149" s="2">
        <f t="shared" si="177"/>
        <v>13.32</v>
      </c>
      <c r="AD149" s="2">
        <f t="shared" si="178"/>
        <v>0</v>
      </c>
      <c r="AE149" s="2">
        <f t="shared" si="179"/>
        <v>0</v>
      </c>
      <c r="AF149" s="2">
        <f t="shared" si="180"/>
        <v>0</v>
      </c>
      <c r="AG149" s="2">
        <f t="shared" si="181"/>
        <v>0</v>
      </c>
      <c r="AH149" s="2">
        <f t="shared" si="182"/>
        <v>0</v>
      </c>
      <c r="AI149" s="2">
        <f t="shared" si="183"/>
        <v>0</v>
      </c>
      <c r="AJ149" s="2">
        <f t="shared" si="184"/>
        <v>0</v>
      </c>
      <c r="AK149" s="2">
        <v>13.32</v>
      </c>
      <c r="AL149" s="2">
        <v>13.32</v>
      </c>
      <c r="AM149" s="2">
        <v>0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161</v>
      </c>
      <c r="AU149" s="2">
        <v>107</v>
      </c>
      <c r="AV149" s="2">
        <v>1.0469999999999999</v>
      </c>
      <c r="AW149" s="2">
        <v>1.002</v>
      </c>
      <c r="AX149" s="2"/>
      <c r="AY149" s="2"/>
      <c r="AZ149" s="2">
        <v>1</v>
      </c>
      <c r="BA149" s="2">
        <v>1</v>
      </c>
      <c r="BB149" s="2">
        <v>1</v>
      </c>
      <c r="BC149" s="2">
        <v>1</v>
      </c>
      <c r="BD149" s="2" t="s">
        <v>6</v>
      </c>
      <c r="BE149" s="2" t="s">
        <v>6</v>
      </c>
      <c r="BF149" s="2" t="s">
        <v>6</v>
      </c>
      <c r="BG149" s="2" t="s">
        <v>6</v>
      </c>
      <c r="BH149" s="2">
        <v>3</v>
      </c>
      <c r="BI149" s="2">
        <v>1</v>
      </c>
      <c r="BJ149" s="2" t="s">
        <v>161</v>
      </c>
      <c r="BK149" s="2"/>
      <c r="BL149" s="2"/>
      <c r="BM149" s="2">
        <v>166</v>
      </c>
      <c r="BN149" s="2">
        <v>0</v>
      </c>
      <c r="BO149" s="2" t="s">
        <v>6</v>
      </c>
      <c r="BP149" s="2">
        <v>0</v>
      </c>
      <c r="BQ149" s="2">
        <v>30</v>
      </c>
      <c r="BR149" s="2">
        <v>0</v>
      </c>
      <c r="BS149" s="2">
        <v>1</v>
      </c>
      <c r="BT149" s="2">
        <v>1</v>
      </c>
      <c r="BU149" s="2">
        <v>1</v>
      </c>
      <c r="BV149" s="2">
        <v>1</v>
      </c>
      <c r="BW149" s="2">
        <v>1</v>
      </c>
      <c r="BX149" s="2">
        <v>1</v>
      </c>
      <c r="BY149" s="2" t="s">
        <v>6</v>
      </c>
      <c r="BZ149" s="2">
        <v>161</v>
      </c>
      <c r="CA149" s="2">
        <v>107</v>
      </c>
      <c r="CB149" s="2" t="s">
        <v>6</v>
      </c>
      <c r="CC149" s="2"/>
      <c r="CD149" s="2"/>
      <c r="CE149" s="2">
        <v>30</v>
      </c>
      <c r="CF149" s="2">
        <v>0</v>
      </c>
      <c r="CG149" s="2">
        <v>0</v>
      </c>
      <c r="CH149" s="2"/>
      <c r="CI149" s="2"/>
      <c r="CJ149" s="2"/>
      <c r="CK149" s="2"/>
      <c r="CL149" s="2"/>
      <c r="CM149" s="2">
        <v>0</v>
      </c>
      <c r="CN149" s="2" t="s">
        <v>6</v>
      </c>
      <c r="CO149" s="2">
        <v>0</v>
      </c>
      <c r="CP149" s="2">
        <f t="shared" si="185"/>
        <v>0</v>
      </c>
      <c r="CQ149" s="2">
        <f t="shared" si="186"/>
        <v>13.35</v>
      </c>
      <c r="CR149" s="2">
        <f t="shared" si="187"/>
        <v>0</v>
      </c>
      <c r="CS149" s="2">
        <f t="shared" si="188"/>
        <v>0</v>
      </c>
      <c r="CT149" s="2">
        <f t="shared" si="189"/>
        <v>0</v>
      </c>
      <c r="CU149" s="2">
        <f t="shared" si="190"/>
        <v>0</v>
      </c>
      <c r="CV149" s="2">
        <f t="shared" si="191"/>
        <v>0</v>
      </c>
      <c r="CW149" s="2">
        <f t="shared" si="192"/>
        <v>0</v>
      </c>
      <c r="CX149" s="2">
        <f t="shared" si="193"/>
        <v>0</v>
      </c>
      <c r="CY149" s="2">
        <f>((S149*BZ149)/100)</f>
        <v>0</v>
      </c>
      <c r="CZ149" s="2">
        <f>((S149*CA149)/100)</f>
        <v>0</v>
      </c>
      <c r="DA149" s="2"/>
      <c r="DB149" s="2"/>
      <c r="DC149" s="2" t="s">
        <v>6</v>
      </c>
      <c r="DD149" s="2" t="s">
        <v>6</v>
      </c>
      <c r="DE149" s="2" t="s">
        <v>6</v>
      </c>
      <c r="DF149" s="2" t="s">
        <v>6</v>
      </c>
      <c r="DG149" s="2" t="s">
        <v>6</v>
      </c>
      <c r="DH149" s="2" t="s">
        <v>6</v>
      </c>
      <c r="DI149" s="2" t="s">
        <v>6</v>
      </c>
      <c r="DJ149" s="2" t="s">
        <v>6</v>
      </c>
      <c r="DK149" s="2" t="s">
        <v>6</v>
      </c>
      <c r="DL149" s="2" t="s">
        <v>6</v>
      </c>
      <c r="DM149" s="2" t="s">
        <v>6</v>
      </c>
      <c r="DN149" s="2">
        <v>0</v>
      </c>
      <c r="DO149" s="2">
        <v>0</v>
      </c>
      <c r="DP149" s="2">
        <v>1</v>
      </c>
      <c r="DQ149" s="2">
        <v>1</v>
      </c>
      <c r="DR149" s="2"/>
      <c r="DS149" s="2"/>
      <c r="DT149" s="2"/>
      <c r="DU149" s="2">
        <v>1005</v>
      </c>
      <c r="DV149" s="2" t="s">
        <v>156</v>
      </c>
      <c r="DW149" s="2" t="s">
        <v>156</v>
      </c>
      <c r="DX149" s="2">
        <v>1</v>
      </c>
      <c r="DY149" s="2"/>
      <c r="DZ149" s="2" t="s">
        <v>6</v>
      </c>
      <c r="EA149" s="2" t="s">
        <v>6</v>
      </c>
      <c r="EB149" s="2" t="s">
        <v>6</v>
      </c>
      <c r="EC149" s="2" t="s">
        <v>6</v>
      </c>
      <c r="ED149" s="2"/>
      <c r="EE149" s="2">
        <v>69252791</v>
      </c>
      <c r="EF149" s="2">
        <v>30</v>
      </c>
      <c r="EG149" s="2" t="s">
        <v>29</v>
      </c>
      <c r="EH149" s="2">
        <v>0</v>
      </c>
      <c r="EI149" s="2" t="s">
        <v>6</v>
      </c>
      <c r="EJ149" s="2">
        <v>1</v>
      </c>
      <c r="EK149" s="2">
        <v>166</v>
      </c>
      <c r="EL149" s="2" t="s">
        <v>151</v>
      </c>
      <c r="EM149" s="2" t="s">
        <v>152</v>
      </c>
      <c r="EN149" s="2"/>
      <c r="EO149" s="2" t="s">
        <v>6</v>
      </c>
      <c r="EP149" s="2"/>
      <c r="EQ149" s="2">
        <v>0</v>
      </c>
      <c r="ER149" s="2">
        <v>13.32</v>
      </c>
      <c r="ES149" s="2">
        <v>13.32</v>
      </c>
      <c r="ET149" s="2">
        <v>0</v>
      </c>
      <c r="EU149" s="2">
        <v>0</v>
      </c>
      <c r="EV149" s="2">
        <v>0</v>
      </c>
      <c r="EW149" s="2">
        <v>0</v>
      </c>
      <c r="EX149" s="2">
        <v>0</v>
      </c>
      <c r="EY149" s="2"/>
      <c r="EZ149" s="2"/>
      <c r="FA149" s="2"/>
      <c r="FB149" s="2"/>
      <c r="FC149" s="2"/>
      <c r="FD149" s="2"/>
      <c r="FE149" s="2"/>
      <c r="FF149" s="2"/>
      <c r="FG149" s="2"/>
      <c r="FH149" s="2"/>
      <c r="FI149" s="2"/>
      <c r="FJ149" s="2"/>
      <c r="FK149" s="2"/>
      <c r="FL149" s="2"/>
      <c r="FM149" s="2"/>
      <c r="FN149" s="2"/>
      <c r="FO149" s="2"/>
      <c r="FP149" s="2"/>
      <c r="FQ149" s="2">
        <v>0</v>
      </c>
      <c r="FR149" s="2">
        <f t="shared" si="194"/>
        <v>0</v>
      </c>
      <c r="FS149" s="2">
        <v>0</v>
      </c>
      <c r="FT149" s="2"/>
      <c r="FU149" s="2"/>
      <c r="FV149" s="2"/>
      <c r="FW149" s="2"/>
      <c r="FX149" s="2">
        <v>161</v>
      </c>
      <c r="FY149" s="2">
        <v>107</v>
      </c>
      <c r="FZ149" s="2"/>
      <c r="GA149" s="2" t="s">
        <v>6</v>
      </c>
      <c r="GB149" s="2"/>
      <c r="GC149" s="2"/>
      <c r="GD149" s="2">
        <v>0</v>
      </c>
      <c r="GE149" s="2"/>
      <c r="GF149" s="2">
        <v>472521045</v>
      </c>
      <c r="GG149" s="2">
        <v>2</v>
      </c>
      <c r="GH149" s="2">
        <v>1</v>
      </c>
      <c r="GI149" s="2">
        <v>-2</v>
      </c>
      <c r="GJ149" s="2">
        <v>0</v>
      </c>
      <c r="GK149" s="2">
        <f>ROUND(R149*(R12)/100,2)</f>
        <v>0</v>
      </c>
      <c r="GL149" s="2">
        <f t="shared" si="195"/>
        <v>0</v>
      </c>
      <c r="GM149" s="2">
        <f t="shared" si="196"/>
        <v>0</v>
      </c>
      <c r="GN149" s="2">
        <f t="shared" si="197"/>
        <v>0</v>
      </c>
      <c r="GO149" s="2">
        <f t="shared" si="198"/>
        <v>0</v>
      </c>
      <c r="GP149" s="2">
        <f t="shared" si="199"/>
        <v>0</v>
      </c>
      <c r="GQ149" s="2"/>
      <c r="GR149" s="2">
        <v>0</v>
      </c>
      <c r="GS149" s="2">
        <v>3</v>
      </c>
      <c r="GT149" s="2">
        <v>0</v>
      </c>
      <c r="GU149" s="2" t="s">
        <v>6</v>
      </c>
      <c r="GV149" s="2">
        <f t="shared" si="200"/>
        <v>0</v>
      </c>
      <c r="GW149" s="2">
        <v>1</v>
      </c>
      <c r="GX149" s="2">
        <f t="shared" si="201"/>
        <v>0</v>
      </c>
      <c r="GY149" s="2"/>
      <c r="GZ149" s="2"/>
      <c r="HA149" s="2">
        <v>0</v>
      </c>
      <c r="HB149" s="2">
        <v>0</v>
      </c>
      <c r="HC149" s="2">
        <f t="shared" si="202"/>
        <v>0</v>
      </c>
      <c r="HD149" s="2"/>
      <c r="HE149" s="2" t="s">
        <v>6</v>
      </c>
      <c r="HF149" s="2" t="s">
        <v>6</v>
      </c>
      <c r="HG149" s="2"/>
      <c r="HH149" s="2"/>
      <c r="HI149" s="2"/>
      <c r="HJ149" s="2"/>
      <c r="HK149" s="2"/>
      <c r="HL149" s="2"/>
      <c r="HM149" s="2" t="s">
        <v>6</v>
      </c>
      <c r="HN149" s="2" t="s">
        <v>6</v>
      </c>
      <c r="HO149" s="2" t="s">
        <v>6</v>
      </c>
      <c r="HP149" s="2" t="s">
        <v>6</v>
      </c>
      <c r="HQ149" s="2" t="s">
        <v>6</v>
      </c>
      <c r="HR149" s="2"/>
      <c r="HS149" s="2"/>
      <c r="HT149" s="2"/>
      <c r="HU149" s="2"/>
      <c r="HV149" s="2"/>
      <c r="HW149" s="2"/>
      <c r="HX149" s="2"/>
      <c r="HY149" s="2"/>
      <c r="HZ149" s="2"/>
      <c r="IA149" s="2"/>
      <c r="IB149" s="2"/>
      <c r="IC149" s="2"/>
      <c r="ID149" s="2"/>
      <c r="IE149" s="2"/>
      <c r="IF149" s="2"/>
      <c r="IG149" s="2"/>
      <c r="IH149" s="2"/>
      <c r="II149" s="2"/>
      <c r="IJ149" s="2"/>
      <c r="IK149" s="2">
        <v>0</v>
      </c>
      <c r="IL149" s="2"/>
      <c r="IM149" s="2"/>
      <c r="IN149" s="2"/>
      <c r="IO149" s="2"/>
      <c r="IP149" s="2"/>
      <c r="IQ149" s="2"/>
      <c r="IR149" s="2"/>
      <c r="IS149" s="2"/>
      <c r="IT149" s="2"/>
      <c r="IU149" s="2"/>
    </row>
    <row r="150" spans="1:255">
      <c r="A150">
        <v>18</v>
      </c>
      <c r="B150">
        <v>1</v>
      </c>
      <c r="E150" t="s">
        <v>158</v>
      </c>
      <c r="F150" t="s">
        <v>159</v>
      </c>
      <c r="G150" t="s">
        <v>160</v>
      </c>
      <c r="H150" t="s">
        <v>156</v>
      </c>
      <c r="I150">
        <f>I146*J150</f>
        <v>0</v>
      </c>
      <c r="J150">
        <v>0</v>
      </c>
      <c r="K150">
        <v>0</v>
      </c>
      <c r="O150">
        <f t="shared" si="165"/>
        <v>0</v>
      </c>
      <c r="P150">
        <f t="shared" si="166"/>
        <v>0</v>
      </c>
      <c r="Q150">
        <f t="shared" si="167"/>
        <v>0</v>
      </c>
      <c r="R150">
        <f t="shared" si="168"/>
        <v>0</v>
      </c>
      <c r="S150">
        <f t="shared" si="169"/>
        <v>0</v>
      </c>
      <c r="T150">
        <f t="shared" si="170"/>
        <v>0</v>
      </c>
      <c r="U150">
        <f t="shared" si="171"/>
        <v>0</v>
      </c>
      <c r="V150">
        <f t="shared" si="172"/>
        <v>0</v>
      </c>
      <c r="W150">
        <f t="shared" si="173"/>
        <v>0</v>
      </c>
      <c r="X150">
        <f t="shared" si="174"/>
        <v>0</v>
      </c>
      <c r="Y150">
        <f t="shared" si="175"/>
        <v>0</v>
      </c>
      <c r="AA150">
        <v>70322059</v>
      </c>
      <c r="AB150">
        <f t="shared" si="176"/>
        <v>13.32</v>
      </c>
      <c r="AC150">
        <f t="shared" si="177"/>
        <v>13.32</v>
      </c>
      <c r="AD150">
        <f t="shared" si="178"/>
        <v>0</v>
      </c>
      <c r="AE150">
        <f t="shared" si="179"/>
        <v>0</v>
      </c>
      <c r="AF150">
        <f t="shared" si="180"/>
        <v>0</v>
      </c>
      <c r="AG150">
        <f t="shared" si="181"/>
        <v>0</v>
      </c>
      <c r="AH150">
        <f t="shared" si="182"/>
        <v>0</v>
      </c>
      <c r="AI150">
        <f t="shared" si="183"/>
        <v>0</v>
      </c>
      <c r="AJ150">
        <f t="shared" si="184"/>
        <v>0</v>
      </c>
      <c r="AK150">
        <v>13.32</v>
      </c>
      <c r="AL150">
        <v>13.32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1.0469999999999999</v>
      </c>
      <c r="AW150">
        <v>1.002</v>
      </c>
      <c r="AZ150">
        <v>1</v>
      </c>
      <c r="BA150">
        <v>1</v>
      </c>
      <c r="BB150">
        <v>1</v>
      </c>
      <c r="BC150">
        <v>3.28</v>
      </c>
      <c r="BD150" t="s">
        <v>6</v>
      </c>
      <c r="BE150" t="s">
        <v>6</v>
      </c>
      <c r="BF150" t="s">
        <v>6</v>
      </c>
      <c r="BG150" t="s">
        <v>6</v>
      </c>
      <c r="BH150">
        <v>3</v>
      </c>
      <c r="BI150">
        <v>1</v>
      </c>
      <c r="BJ150" t="s">
        <v>161</v>
      </c>
      <c r="BM150">
        <v>166</v>
      </c>
      <c r="BN150">
        <v>0</v>
      </c>
      <c r="BO150" t="s">
        <v>159</v>
      </c>
      <c r="BP150">
        <v>1</v>
      </c>
      <c r="BQ150">
        <v>30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6</v>
      </c>
      <c r="BZ150">
        <v>0</v>
      </c>
      <c r="CA150">
        <v>0</v>
      </c>
      <c r="CB150" t="s">
        <v>6</v>
      </c>
      <c r="CE150">
        <v>30</v>
      </c>
      <c r="CF150">
        <v>0</v>
      </c>
      <c r="CG150">
        <v>0</v>
      </c>
      <c r="CM150">
        <v>0</v>
      </c>
      <c r="CN150" t="s">
        <v>6</v>
      </c>
      <c r="CO150">
        <v>0</v>
      </c>
      <c r="CP150">
        <f t="shared" si="185"/>
        <v>0</v>
      </c>
      <c r="CQ150">
        <f t="shared" si="186"/>
        <v>43.79</v>
      </c>
      <c r="CR150">
        <f t="shared" si="187"/>
        <v>0</v>
      </c>
      <c r="CS150">
        <f t="shared" si="188"/>
        <v>0</v>
      </c>
      <c r="CT150">
        <f t="shared" si="189"/>
        <v>0</v>
      </c>
      <c r="CU150">
        <f t="shared" si="190"/>
        <v>0</v>
      </c>
      <c r="CV150">
        <f t="shared" si="191"/>
        <v>0</v>
      </c>
      <c r="CW150">
        <f t="shared" si="192"/>
        <v>0</v>
      </c>
      <c r="CX150">
        <f t="shared" si="193"/>
        <v>0</v>
      </c>
      <c r="CY150">
        <f>S150*(BZ150/100)</f>
        <v>0</v>
      </c>
      <c r="CZ150">
        <f>S150*(CA150/100)</f>
        <v>0</v>
      </c>
      <c r="DC150" t="s">
        <v>6</v>
      </c>
      <c r="DD150" t="s">
        <v>6</v>
      </c>
      <c r="DE150" t="s">
        <v>6</v>
      </c>
      <c r="DF150" t="s">
        <v>6</v>
      </c>
      <c r="DG150" t="s">
        <v>6</v>
      </c>
      <c r="DH150" t="s">
        <v>6</v>
      </c>
      <c r="DI150" t="s">
        <v>6</v>
      </c>
      <c r="DJ150" t="s">
        <v>6</v>
      </c>
      <c r="DK150" t="s">
        <v>6</v>
      </c>
      <c r="DL150" t="s">
        <v>6</v>
      </c>
      <c r="DM150" t="s">
        <v>6</v>
      </c>
      <c r="DN150">
        <v>161</v>
      </c>
      <c r="DO150">
        <v>107</v>
      </c>
      <c r="DP150">
        <v>1.0469999999999999</v>
      </c>
      <c r="DQ150">
        <v>1.002</v>
      </c>
      <c r="DU150">
        <v>1005</v>
      </c>
      <c r="DV150" t="s">
        <v>156</v>
      </c>
      <c r="DW150" t="s">
        <v>156</v>
      </c>
      <c r="DX150">
        <v>1</v>
      </c>
      <c r="DZ150" t="s">
        <v>6</v>
      </c>
      <c r="EA150" t="s">
        <v>6</v>
      </c>
      <c r="EB150" t="s">
        <v>6</v>
      </c>
      <c r="EC150" t="s">
        <v>6</v>
      </c>
      <c r="EE150">
        <v>69252791</v>
      </c>
      <c r="EF150">
        <v>30</v>
      </c>
      <c r="EG150" t="s">
        <v>29</v>
      </c>
      <c r="EH150">
        <v>0</v>
      </c>
      <c r="EI150" t="s">
        <v>6</v>
      </c>
      <c r="EJ150">
        <v>1</v>
      </c>
      <c r="EK150">
        <v>166</v>
      </c>
      <c r="EL150" t="s">
        <v>151</v>
      </c>
      <c r="EM150" t="s">
        <v>152</v>
      </c>
      <c r="EO150" t="s">
        <v>6</v>
      </c>
      <c r="EQ150">
        <v>0</v>
      </c>
      <c r="ER150">
        <v>13.32</v>
      </c>
      <c r="ES150">
        <v>13.32</v>
      </c>
      <c r="ET150">
        <v>0</v>
      </c>
      <c r="EU150">
        <v>0</v>
      </c>
      <c r="EV150">
        <v>0</v>
      </c>
      <c r="EW150">
        <v>0</v>
      </c>
      <c r="EX150">
        <v>0</v>
      </c>
      <c r="FQ150">
        <v>0</v>
      </c>
      <c r="FR150">
        <f t="shared" si="194"/>
        <v>0</v>
      </c>
      <c r="FS150">
        <v>0</v>
      </c>
      <c r="FX150">
        <v>161</v>
      </c>
      <c r="FY150">
        <v>107</v>
      </c>
      <c r="GA150" t="s">
        <v>6</v>
      </c>
      <c r="GD150">
        <v>0</v>
      </c>
      <c r="GF150">
        <v>472521045</v>
      </c>
      <c r="GG150">
        <v>2</v>
      </c>
      <c r="GH150">
        <v>1</v>
      </c>
      <c r="GI150">
        <v>2</v>
      </c>
      <c r="GJ150">
        <v>0</v>
      </c>
      <c r="GK150">
        <f>ROUND(R150*(S12)/100,2)</f>
        <v>0</v>
      </c>
      <c r="GL150">
        <f t="shared" si="195"/>
        <v>0</v>
      </c>
      <c r="GM150">
        <f t="shared" si="196"/>
        <v>0</v>
      </c>
      <c r="GN150">
        <f t="shared" si="197"/>
        <v>0</v>
      </c>
      <c r="GO150">
        <f t="shared" si="198"/>
        <v>0</v>
      </c>
      <c r="GP150">
        <f t="shared" si="199"/>
        <v>0</v>
      </c>
      <c r="GR150">
        <v>0</v>
      </c>
      <c r="GS150">
        <v>0</v>
      </c>
      <c r="GT150">
        <v>0</v>
      </c>
      <c r="GU150" t="s">
        <v>6</v>
      </c>
      <c r="GV150">
        <f t="shared" si="200"/>
        <v>0</v>
      </c>
      <c r="GW150">
        <v>1</v>
      </c>
      <c r="GX150">
        <f t="shared" si="201"/>
        <v>0</v>
      </c>
      <c r="HA150">
        <v>0</v>
      </c>
      <c r="HB150">
        <v>0</v>
      </c>
      <c r="HC150">
        <f t="shared" si="202"/>
        <v>0</v>
      </c>
      <c r="HE150" t="s">
        <v>6</v>
      </c>
      <c r="HF150" t="s">
        <v>6</v>
      </c>
      <c r="HM150" t="s">
        <v>6</v>
      </c>
      <c r="HN150" t="s">
        <v>6</v>
      </c>
      <c r="HO150" t="s">
        <v>6</v>
      </c>
      <c r="HP150" t="s">
        <v>6</v>
      </c>
      <c r="HQ150" t="s">
        <v>6</v>
      </c>
      <c r="IK150">
        <v>0</v>
      </c>
    </row>
    <row r="151" spans="1:255">
      <c r="A151" s="2">
        <v>17</v>
      </c>
      <c r="B151" s="2">
        <v>1</v>
      </c>
      <c r="C151" s="2"/>
      <c r="D151" s="2"/>
      <c r="E151" s="2" t="s">
        <v>162</v>
      </c>
      <c r="F151" s="2" t="s">
        <v>163</v>
      </c>
      <c r="G151" s="2" t="s">
        <v>164</v>
      </c>
      <c r="H151" s="2" t="s">
        <v>165</v>
      </c>
      <c r="I151" s="2">
        <f>ROUND((1514.4*0.3)/100,9)</f>
        <v>4.5431999999999997</v>
      </c>
      <c r="J151" s="2">
        <v>0</v>
      </c>
      <c r="K151" s="2">
        <f>ROUND((1514.4*0.3)/100,9)</f>
        <v>4.5431999999999997</v>
      </c>
      <c r="L151" s="2"/>
      <c r="M151" s="2"/>
      <c r="N151" s="2"/>
      <c r="O151" s="2">
        <f t="shared" si="165"/>
        <v>6551.88</v>
      </c>
      <c r="P151" s="2">
        <f t="shared" si="166"/>
        <v>160.91999999999999</v>
      </c>
      <c r="Q151" s="2">
        <f t="shared" si="167"/>
        <v>5670.36</v>
      </c>
      <c r="R151" s="2">
        <f t="shared" si="168"/>
        <v>451.51</v>
      </c>
      <c r="S151" s="2">
        <f t="shared" si="169"/>
        <v>720.6</v>
      </c>
      <c r="T151" s="2">
        <f t="shared" si="170"/>
        <v>0</v>
      </c>
      <c r="U151" s="2">
        <f t="shared" si="171"/>
        <v>68.496917759999988</v>
      </c>
      <c r="V151" s="2">
        <f t="shared" si="172"/>
        <v>0</v>
      </c>
      <c r="W151" s="2">
        <f t="shared" si="173"/>
        <v>0</v>
      </c>
      <c r="X151" s="2">
        <f t="shared" si="174"/>
        <v>1160.17</v>
      </c>
      <c r="Y151" s="2">
        <f t="shared" si="175"/>
        <v>771.04</v>
      </c>
      <c r="Z151" s="2"/>
      <c r="AA151" s="2">
        <v>70322058</v>
      </c>
      <c r="AB151" s="2">
        <f t="shared" si="176"/>
        <v>1378.91</v>
      </c>
      <c r="AC151" s="2">
        <f t="shared" si="177"/>
        <v>35.35</v>
      </c>
      <c r="AD151" s="2">
        <f t="shared" si="178"/>
        <v>1192.07</v>
      </c>
      <c r="AE151" s="2">
        <f t="shared" si="179"/>
        <v>94.92</v>
      </c>
      <c r="AF151" s="2">
        <f t="shared" si="180"/>
        <v>151.49</v>
      </c>
      <c r="AG151" s="2">
        <f t="shared" si="181"/>
        <v>0</v>
      </c>
      <c r="AH151" s="2">
        <f t="shared" si="182"/>
        <v>14.4</v>
      </c>
      <c r="AI151" s="2">
        <f t="shared" si="183"/>
        <v>0</v>
      </c>
      <c r="AJ151" s="2">
        <f t="shared" si="184"/>
        <v>0</v>
      </c>
      <c r="AK151" s="2">
        <v>1378.91</v>
      </c>
      <c r="AL151" s="2">
        <v>35.35</v>
      </c>
      <c r="AM151" s="2">
        <v>1192.07</v>
      </c>
      <c r="AN151" s="2">
        <v>94.92</v>
      </c>
      <c r="AO151" s="2">
        <v>151.49</v>
      </c>
      <c r="AP151" s="2">
        <v>0</v>
      </c>
      <c r="AQ151" s="2">
        <v>14.4</v>
      </c>
      <c r="AR151" s="2">
        <v>0</v>
      </c>
      <c r="AS151" s="2">
        <v>0</v>
      </c>
      <c r="AT151" s="2">
        <v>161</v>
      </c>
      <c r="AU151" s="2">
        <v>107</v>
      </c>
      <c r="AV151" s="2">
        <v>1.0469999999999999</v>
      </c>
      <c r="AW151" s="2">
        <v>1.002</v>
      </c>
      <c r="AX151" s="2"/>
      <c r="AY151" s="2"/>
      <c r="AZ151" s="2">
        <v>1</v>
      </c>
      <c r="BA151" s="2">
        <v>1</v>
      </c>
      <c r="BB151" s="2">
        <v>1</v>
      </c>
      <c r="BC151" s="2">
        <v>1</v>
      </c>
      <c r="BD151" s="2" t="s">
        <v>6</v>
      </c>
      <c r="BE151" s="2" t="s">
        <v>6</v>
      </c>
      <c r="BF151" s="2" t="s">
        <v>6</v>
      </c>
      <c r="BG151" s="2" t="s">
        <v>6</v>
      </c>
      <c r="BH151" s="2">
        <v>0</v>
      </c>
      <c r="BI151" s="2">
        <v>1</v>
      </c>
      <c r="BJ151" s="2" t="s">
        <v>166</v>
      </c>
      <c r="BK151" s="2"/>
      <c r="BL151" s="2"/>
      <c r="BM151" s="2">
        <v>146</v>
      </c>
      <c r="BN151" s="2">
        <v>0</v>
      </c>
      <c r="BO151" s="2" t="s">
        <v>6</v>
      </c>
      <c r="BP151" s="2">
        <v>0</v>
      </c>
      <c r="BQ151" s="2">
        <v>30</v>
      </c>
      <c r="BR151" s="2">
        <v>0</v>
      </c>
      <c r="BS151" s="2">
        <v>1</v>
      </c>
      <c r="BT151" s="2">
        <v>1</v>
      </c>
      <c r="BU151" s="2">
        <v>1</v>
      </c>
      <c r="BV151" s="2">
        <v>1</v>
      </c>
      <c r="BW151" s="2">
        <v>1</v>
      </c>
      <c r="BX151" s="2">
        <v>1</v>
      </c>
      <c r="BY151" s="2" t="s">
        <v>6</v>
      </c>
      <c r="BZ151" s="2">
        <v>161</v>
      </c>
      <c r="CA151" s="2">
        <v>107</v>
      </c>
      <c r="CB151" s="2" t="s">
        <v>6</v>
      </c>
      <c r="CC151" s="2"/>
      <c r="CD151" s="2"/>
      <c r="CE151" s="2">
        <v>30</v>
      </c>
      <c r="CF151" s="2">
        <v>0</v>
      </c>
      <c r="CG151" s="2">
        <v>0</v>
      </c>
      <c r="CH151" s="2"/>
      <c r="CI151" s="2"/>
      <c r="CJ151" s="2"/>
      <c r="CK151" s="2"/>
      <c r="CL151" s="2"/>
      <c r="CM151" s="2">
        <v>0</v>
      </c>
      <c r="CN151" s="2" t="s">
        <v>6</v>
      </c>
      <c r="CO151" s="2">
        <v>0</v>
      </c>
      <c r="CP151" s="2">
        <f t="shared" si="185"/>
        <v>6551.88</v>
      </c>
      <c r="CQ151" s="2">
        <f t="shared" si="186"/>
        <v>35.42</v>
      </c>
      <c r="CR151" s="2">
        <f t="shared" si="187"/>
        <v>1248.0999999999999</v>
      </c>
      <c r="CS151" s="2">
        <f t="shared" si="188"/>
        <v>99.38</v>
      </c>
      <c r="CT151" s="2">
        <f t="shared" si="189"/>
        <v>158.61000000000001</v>
      </c>
      <c r="CU151" s="2">
        <f t="shared" si="190"/>
        <v>0</v>
      </c>
      <c r="CV151" s="2">
        <f t="shared" si="191"/>
        <v>15.076799999999999</v>
      </c>
      <c r="CW151" s="2">
        <f t="shared" si="192"/>
        <v>0</v>
      </c>
      <c r="CX151" s="2">
        <f t="shared" si="193"/>
        <v>0</v>
      </c>
      <c r="CY151" s="2">
        <f>((S151*BZ151)/100)</f>
        <v>1160.1660000000002</v>
      </c>
      <c r="CZ151" s="2">
        <f>((S151*CA151)/100)</f>
        <v>771.04199999999992</v>
      </c>
      <c r="DA151" s="2"/>
      <c r="DB151" s="2"/>
      <c r="DC151" s="2" t="s">
        <v>6</v>
      </c>
      <c r="DD151" s="2" t="s">
        <v>6</v>
      </c>
      <c r="DE151" s="2" t="s">
        <v>6</v>
      </c>
      <c r="DF151" s="2" t="s">
        <v>6</v>
      </c>
      <c r="DG151" s="2" t="s">
        <v>6</v>
      </c>
      <c r="DH151" s="2" t="s">
        <v>6</v>
      </c>
      <c r="DI151" s="2" t="s">
        <v>6</v>
      </c>
      <c r="DJ151" s="2" t="s">
        <v>6</v>
      </c>
      <c r="DK151" s="2" t="s">
        <v>6</v>
      </c>
      <c r="DL151" s="2" t="s">
        <v>6</v>
      </c>
      <c r="DM151" s="2" t="s">
        <v>6</v>
      </c>
      <c r="DN151" s="2">
        <v>0</v>
      </c>
      <c r="DO151" s="2">
        <v>0</v>
      </c>
      <c r="DP151" s="2">
        <v>1</v>
      </c>
      <c r="DQ151" s="2">
        <v>1</v>
      </c>
      <c r="DR151" s="2"/>
      <c r="DS151" s="2"/>
      <c r="DT151" s="2"/>
      <c r="DU151" s="2">
        <v>1013</v>
      </c>
      <c r="DV151" s="2" t="s">
        <v>165</v>
      </c>
      <c r="DW151" s="2" t="s">
        <v>165</v>
      </c>
      <c r="DX151" s="2">
        <v>1</v>
      </c>
      <c r="DY151" s="2"/>
      <c r="DZ151" s="2" t="s">
        <v>6</v>
      </c>
      <c r="EA151" s="2" t="s">
        <v>6</v>
      </c>
      <c r="EB151" s="2" t="s">
        <v>6</v>
      </c>
      <c r="EC151" s="2" t="s">
        <v>6</v>
      </c>
      <c r="ED151" s="2"/>
      <c r="EE151" s="2">
        <v>69252771</v>
      </c>
      <c r="EF151" s="2">
        <v>30</v>
      </c>
      <c r="EG151" s="2" t="s">
        <v>29</v>
      </c>
      <c r="EH151" s="2">
        <v>0</v>
      </c>
      <c r="EI151" s="2" t="s">
        <v>6</v>
      </c>
      <c r="EJ151" s="2">
        <v>1</v>
      </c>
      <c r="EK151" s="2">
        <v>146</v>
      </c>
      <c r="EL151" s="2" t="s">
        <v>167</v>
      </c>
      <c r="EM151" s="2" t="s">
        <v>168</v>
      </c>
      <c r="EN151" s="2"/>
      <c r="EO151" s="2" t="s">
        <v>6</v>
      </c>
      <c r="EP151" s="2"/>
      <c r="EQ151" s="2">
        <v>0</v>
      </c>
      <c r="ER151" s="2">
        <v>1378.91</v>
      </c>
      <c r="ES151" s="2">
        <v>35.35</v>
      </c>
      <c r="ET151" s="2">
        <v>1192.07</v>
      </c>
      <c r="EU151" s="2">
        <v>94.92</v>
      </c>
      <c r="EV151" s="2">
        <v>151.49</v>
      </c>
      <c r="EW151" s="2">
        <v>14.4</v>
      </c>
      <c r="EX151" s="2">
        <v>0</v>
      </c>
      <c r="EY151" s="2">
        <v>0</v>
      </c>
      <c r="EZ151" s="2"/>
      <c r="FA151" s="2"/>
      <c r="FB151" s="2"/>
      <c r="FC151" s="2"/>
      <c r="FD151" s="2"/>
      <c r="FE151" s="2"/>
      <c r="FF151" s="2"/>
      <c r="FG151" s="2"/>
      <c r="FH151" s="2"/>
      <c r="FI151" s="2"/>
      <c r="FJ151" s="2"/>
      <c r="FK151" s="2"/>
      <c r="FL151" s="2"/>
      <c r="FM151" s="2"/>
      <c r="FN151" s="2"/>
      <c r="FO151" s="2"/>
      <c r="FP151" s="2"/>
      <c r="FQ151" s="2">
        <v>0</v>
      </c>
      <c r="FR151" s="2">
        <f t="shared" si="194"/>
        <v>0</v>
      </c>
      <c r="FS151" s="2">
        <v>0</v>
      </c>
      <c r="FT151" s="2"/>
      <c r="FU151" s="2"/>
      <c r="FV151" s="2"/>
      <c r="FW151" s="2"/>
      <c r="FX151" s="2">
        <v>161</v>
      </c>
      <c r="FY151" s="2">
        <v>107</v>
      </c>
      <c r="FZ151" s="2"/>
      <c r="GA151" s="2" t="s">
        <v>6</v>
      </c>
      <c r="GB151" s="2"/>
      <c r="GC151" s="2"/>
      <c r="GD151" s="2">
        <v>0</v>
      </c>
      <c r="GE151" s="2"/>
      <c r="GF151" s="2">
        <v>-1901812685</v>
      </c>
      <c r="GG151" s="2">
        <v>2</v>
      </c>
      <c r="GH151" s="2">
        <v>1</v>
      </c>
      <c r="GI151" s="2">
        <v>-2</v>
      </c>
      <c r="GJ151" s="2">
        <v>0</v>
      </c>
      <c r="GK151" s="2">
        <f>ROUND(R151*(R12)/100,2)</f>
        <v>790.14</v>
      </c>
      <c r="GL151" s="2">
        <f t="shared" si="195"/>
        <v>0</v>
      </c>
      <c r="GM151" s="2">
        <f t="shared" si="196"/>
        <v>9273.23</v>
      </c>
      <c r="GN151" s="2">
        <f t="shared" si="197"/>
        <v>9273.23</v>
      </c>
      <c r="GO151" s="2">
        <f t="shared" si="198"/>
        <v>0</v>
      </c>
      <c r="GP151" s="2">
        <f t="shared" si="199"/>
        <v>0</v>
      </c>
      <c r="GQ151" s="2"/>
      <c r="GR151" s="2">
        <v>0</v>
      </c>
      <c r="GS151" s="2">
        <v>3</v>
      </c>
      <c r="GT151" s="2">
        <v>0</v>
      </c>
      <c r="GU151" s="2" t="s">
        <v>6</v>
      </c>
      <c r="GV151" s="2">
        <f t="shared" si="200"/>
        <v>0</v>
      </c>
      <c r="GW151" s="2">
        <v>1</v>
      </c>
      <c r="GX151" s="2">
        <f t="shared" si="201"/>
        <v>0</v>
      </c>
      <c r="GY151" s="2"/>
      <c r="GZ151" s="2"/>
      <c r="HA151" s="2">
        <v>0</v>
      </c>
      <c r="HB151" s="2">
        <v>0</v>
      </c>
      <c r="HC151" s="2">
        <f t="shared" si="202"/>
        <v>0</v>
      </c>
      <c r="HD151" s="2"/>
      <c r="HE151" s="2" t="s">
        <v>6</v>
      </c>
      <c r="HF151" s="2" t="s">
        <v>6</v>
      </c>
      <c r="HG151" s="2"/>
      <c r="HH151" s="2"/>
      <c r="HI151" s="2"/>
      <c r="HJ151" s="2"/>
      <c r="HK151" s="2"/>
      <c r="HL151" s="2"/>
      <c r="HM151" s="2" t="s">
        <v>6</v>
      </c>
      <c r="HN151" s="2" t="s">
        <v>6</v>
      </c>
      <c r="HO151" s="2" t="s">
        <v>6</v>
      </c>
      <c r="HP151" s="2" t="s">
        <v>6</v>
      </c>
      <c r="HQ151" s="2" t="s">
        <v>6</v>
      </c>
      <c r="HR151" s="2"/>
      <c r="HS151" s="2"/>
      <c r="HT151" s="2"/>
      <c r="HU151" s="2"/>
      <c r="HV151" s="2"/>
      <c r="HW151" s="2"/>
      <c r="HX151" s="2"/>
      <c r="HY151" s="2"/>
      <c r="HZ151" s="2"/>
      <c r="IA151" s="2"/>
      <c r="IB151" s="2"/>
      <c r="IC151" s="2"/>
      <c r="ID151" s="2"/>
      <c r="IE151" s="2"/>
      <c r="IF151" s="2"/>
      <c r="IG151" s="2"/>
      <c r="IH151" s="2"/>
      <c r="II151" s="2"/>
      <c r="IJ151" s="2"/>
      <c r="IK151" s="2">
        <v>0</v>
      </c>
      <c r="IL151" s="2"/>
      <c r="IM151" s="2"/>
      <c r="IN151" s="2"/>
      <c r="IO151" s="2"/>
      <c r="IP151" s="2"/>
      <c r="IQ151" s="2"/>
      <c r="IR151" s="2"/>
      <c r="IS151" s="2"/>
      <c r="IT151" s="2"/>
      <c r="IU151" s="2"/>
    </row>
    <row r="152" spans="1:255">
      <c r="A152">
        <v>17</v>
      </c>
      <c r="B152">
        <v>1</v>
      </c>
      <c r="E152" t="s">
        <v>162</v>
      </c>
      <c r="F152" t="s">
        <v>163</v>
      </c>
      <c r="G152" t="s">
        <v>164</v>
      </c>
      <c r="H152" t="s">
        <v>165</v>
      </c>
      <c r="I152">
        <f>ROUND((1514.4*0.3)/100,9)</f>
        <v>4.5431999999999997</v>
      </c>
      <c r="J152">
        <v>0</v>
      </c>
      <c r="K152">
        <f>ROUND((1514.4*0.3)/100,9)</f>
        <v>4.5431999999999997</v>
      </c>
      <c r="O152">
        <f t="shared" si="165"/>
        <v>108989.9</v>
      </c>
      <c r="P152">
        <f t="shared" si="166"/>
        <v>1134.49</v>
      </c>
      <c r="Q152">
        <f t="shared" si="167"/>
        <v>74225.009999999995</v>
      </c>
      <c r="R152">
        <f t="shared" si="168"/>
        <v>21071.97</v>
      </c>
      <c r="S152">
        <f t="shared" si="169"/>
        <v>33630.400000000001</v>
      </c>
      <c r="T152">
        <f t="shared" si="170"/>
        <v>0</v>
      </c>
      <c r="U152">
        <f t="shared" si="171"/>
        <v>68.496917759999988</v>
      </c>
      <c r="V152">
        <f t="shared" si="172"/>
        <v>0</v>
      </c>
      <c r="W152">
        <f t="shared" si="173"/>
        <v>0</v>
      </c>
      <c r="X152">
        <f t="shared" si="174"/>
        <v>45064.74</v>
      </c>
      <c r="Y152">
        <f t="shared" si="175"/>
        <v>18496.72</v>
      </c>
      <c r="AA152">
        <v>70322059</v>
      </c>
      <c r="AB152">
        <f t="shared" si="176"/>
        <v>1378.91</v>
      </c>
      <c r="AC152">
        <f t="shared" si="177"/>
        <v>35.35</v>
      </c>
      <c r="AD152">
        <f t="shared" si="178"/>
        <v>1192.07</v>
      </c>
      <c r="AE152">
        <f t="shared" si="179"/>
        <v>94.92</v>
      </c>
      <c r="AF152">
        <f t="shared" si="180"/>
        <v>151.49</v>
      </c>
      <c r="AG152">
        <f t="shared" si="181"/>
        <v>0</v>
      </c>
      <c r="AH152">
        <f t="shared" si="182"/>
        <v>14.4</v>
      </c>
      <c r="AI152">
        <f t="shared" si="183"/>
        <v>0</v>
      </c>
      <c r="AJ152">
        <f t="shared" si="184"/>
        <v>0</v>
      </c>
      <c r="AK152">
        <v>1378.91</v>
      </c>
      <c r="AL152">
        <v>35.35</v>
      </c>
      <c r="AM152">
        <v>1192.07</v>
      </c>
      <c r="AN152">
        <v>94.92</v>
      </c>
      <c r="AO152">
        <v>151.49</v>
      </c>
      <c r="AP152">
        <v>0</v>
      </c>
      <c r="AQ152">
        <v>14.4</v>
      </c>
      <c r="AR152">
        <v>0</v>
      </c>
      <c r="AS152">
        <v>0</v>
      </c>
      <c r="AT152">
        <v>134</v>
      </c>
      <c r="AU152">
        <v>55</v>
      </c>
      <c r="AV152">
        <v>1.0469999999999999</v>
      </c>
      <c r="AW152">
        <v>1.002</v>
      </c>
      <c r="AZ152">
        <v>1</v>
      </c>
      <c r="BA152">
        <v>46.67</v>
      </c>
      <c r="BB152">
        <v>13.09</v>
      </c>
      <c r="BC152">
        <v>7.05</v>
      </c>
      <c r="BD152" t="s">
        <v>6</v>
      </c>
      <c r="BE152" t="s">
        <v>6</v>
      </c>
      <c r="BF152" t="s">
        <v>6</v>
      </c>
      <c r="BG152" t="s">
        <v>6</v>
      </c>
      <c r="BH152">
        <v>0</v>
      </c>
      <c r="BI152">
        <v>1</v>
      </c>
      <c r="BJ152" t="s">
        <v>166</v>
      </c>
      <c r="BM152">
        <v>146</v>
      </c>
      <c r="BN152">
        <v>0</v>
      </c>
      <c r="BO152" t="s">
        <v>163</v>
      </c>
      <c r="BP152">
        <v>1</v>
      </c>
      <c r="BQ152">
        <v>30</v>
      </c>
      <c r="BR152">
        <v>0</v>
      </c>
      <c r="BS152">
        <v>46.67</v>
      </c>
      <c r="BT152">
        <v>1</v>
      </c>
      <c r="BU152">
        <v>1</v>
      </c>
      <c r="BV152">
        <v>1</v>
      </c>
      <c r="BW152">
        <v>1</v>
      </c>
      <c r="BX152">
        <v>1</v>
      </c>
      <c r="BY152" t="s">
        <v>6</v>
      </c>
      <c r="BZ152">
        <v>134</v>
      </c>
      <c r="CA152">
        <v>55</v>
      </c>
      <c r="CB152" t="s">
        <v>6</v>
      </c>
      <c r="CE152">
        <v>30</v>
      </c>
      <c r="CF152">
        <v>0</v>
      </c>
      <c r="CG152">
        <v>0</v>
      </c>
      <c r="CM152">
        <v>0</v>
      </c>
      <c r="CN152" t="s">
        <v>6</v>
      </c>
      <c r="CO152">
        <v>0</v>
      </c>
      <c r="CP152">
        <f t="shared" si="185"/>
        <v>108989.9</v>
      </c>
      <c r="CQ152">
        <f t="shared" si="186"/>
        <v>249.71</v>
      </c>
      <c r="CR152">
        <f t="shared" si="187"/>
        <v>16337.63</v>
      </c>
      <c r="CS152">
        <f t="shared" si="188"/>
        <v>4638.0600000000004</v>
      </c>
      <c r="CT152">
        <f t="shared" si="189"/>
        <v>7402.33</v>
      </c>
      <c r="CU152">
        <f t="shared" si="190"/>
        <v>0</v>
      </c>
      <c r="CV152">
        <f t="shared" si="191"/>
        <v>15.076799999999999</v>
      </c>
      <c r="CW152">
        <f t="shared" si="192"/>
        <v>0</v>
      </c>
      <c r="CX152">
        <f t="shared" si="193"/>
        <v>0</v>
      </c>
      <c r="CY152">
        <f>S152*(BZ152/100)</f>
        <v>45064.736000000004</v>
      </c>
      <c r="CZ152">
        <f>S152*(CA152/100)</f>
        <v>18496.72</v>
      </c>
      <c r="DC152" t="s">
        <v>6</v>
      </c>
      <c r="DD152" t="s">
        <v>6</v>
      </c>
      <c r="DE152" t="s">
        <v>6</v>
      </c>
      <c r="DF152" t="s">
        <v>6</v>
      </c>
      <c r="DG152" t="s">
        <v>6</v>
      </c>
      <c r="DH152" t="s">
        <v>6</v>
      </c>
      <c r="DI152" t="s">
        <v>6</v>
      </c>
      <c r="DJ152" t="s">
        <v>6</v>
      </c>
      <c r="DK152" t="s">
        <v>6</v>
      </c>
      <c r="DL152" t="s">
        <v>6</v>
      </c>
      <c r="DM152" t="s">
        <v>6</v>
      </c>
      <c r="DN152">
        <v>161</v>
      </c>
      <c r="DO152">
        <v>107</v>
      </c>
      <c r="DP152">
        <v>1.0469999999999999</v>
      </c>
      <c r="DQ152">
        <v>1.002</v>
      </c>
      <c r="DU152">
        <v>1013</v>
      </c>
      <c r="DV152" t="s">
        <v>165</v>
      </c>
      <c r="DW152" t="s">
        <v>165</v>
      </c>
      <c r="DX152">
        <v>1</v>
      </c>
      <c r="DZ152" t="s">
        <v>6</v>
      </c>
      <c r="EA152" t="s">
        <v>6</v>
      </c>
      <c r="EB152" t="s">
        <v>6</v>
      </c>
      <c r="EC152" t="s">
        <v>6</v>
      </c>
      <c r="EE152">
        <v>69252771</v>
      </c>
      <c r="EF152">
        <v>30</v>
      </c>
      <c r="EG152" t="s">
        <v>29</v>
      </c>
      <c r="EH152">
        <v>0</v>
      </c>
      <c r="EI152" t="s">
        <v>6</v>
      </c>
      <c r="EJ152">
        <v>1</v>
      </c>
      <c r="EK152">
        <v>146</v>
      </c>
      <c r="EL152" t="s">
        <v>167</v>
      </c>
      <c r="EM152" t="s">
        <v>168</v>
      </c>
      <c r="EO152" t="s">
        <v>6</v>
      </c>
      <c r="EQ152">
        <v>0</v>
      </c>
      <c r="ER152">
        <v>1378.91</v>
      </c>
      <c r="ES152">
        <v>35.35</v>
      </c>
      <c r="ET152">
        <v>1192.07</v>
      </c>
      <c r="EU152">
        <v>94.92</v>
      </c>
      <c r="EV152">
        <v>151.49</v>
      </c>
      <c r="EW152">
        <v>14.4</v>
      </c>
      <c r="EX152">
        <v>0</v>
      </c>
      <c r="EY152">
        <v>0</v>
      </c>
      <c r="FQ152">
        <v>0</v>
      </c>
      <c r="FR152">
        <f t="shared" si="194"/>
        <v>0</v>
      </c>
      <c r="FS152">
        <v>0</v>
      </c>
      <c r="FX152">
        <v>161</v>
      </c>
      <c r="FY152">
        <v>107</v>
      </c>
      <c r="GA152" t="s">
        <v>6</v>
      </c>
      <c r="GD152">
        <v>0</v>
      </c>
      <c r="GF152">
        <v>-1901812685</v>
      </c>
      <c r="GG152">
        <v>2</v>
      </c>
      <c r="GH152">
        <v>1</v>
      </c>
      <c r="GI152">
        <v>2</v>
      </c>
      <c r="GJ152">
        <v>0</v>
      </c>
      <c r="GK152">
        <f>ROUND(R152*(S12)/100,2)</f>
        <v>33715.15</v>
      </c>
      <c r="GL152">
        <f t="shared" si="195"/>
        <v>0</v>
      </c>
      <c r="GM152">
        <f t="shared" si="196"/>
        <v>206266.51</v>
      </c>
      <c r="GN152">
        <f t="shared" si="197"/>
        <v>206266.51</v>
      </c>
      <c r="GO152">
        <f t="shared" si="198"/>
        <v>0</v>
      </c>
      <c r="GP152">
        <f t="shared" si="199"/>
        <v>0</v>
      </c>
      <c r="GR152">
        <v>0</v>
      </c>
      <c r="GS152">
        <v>0</v>
      </c>
      <c r="GT152">
        <v>0</v>
      </c>
      <c r="GU152" t="s">
        <v>6</v>
      </c>
      <c r="GV152">
        <f t="shared" si="200"/>
        <v>0</v>
      </c>
      <c r="GW152">
        <v>1</v>
      </c>
      <c r="GX152">
        <f t="shared" si="201"/>
        <v>0</v>
      </c>
      <c r="HA152">
        <v>0</v>
      </c>
      <c r="HB152">
        <v>0</v>
      </c>
      <c r="HC152">
        <f t="shared" si="202"/>
        <v>0</v>
      </c>
      <c r="HE152" t="s">
        <v>6</v>
      </c>
      <c r="HF152" t="s">
        <v>6</v>
      </c>
      <c r="HM152" t="s">
        <v>6</v>
      </c>
      <c r="HN152" t="s">
        <v>6</v>
      </c>
      <c r="HO152" t="s">
        <v>6</v>
      </c>
      <c r="HP152" t="s">
        <v>6</v>
      </c>
      <c r="HQ152" t="s">
        <v>6</v>
      </c>
      <c r="IK152">
        <v>0</v>
      </c>
    </row>
    <row r="153" spans="1:255">
      <c r="A153" s="2">
        <v>18</v>
      </c>
      <c r="B153" s="2">
        <v>1</v>
      </c>
      <c r="C153" s="2"/>
      <c r="D153" s="2"/>
      <c r="E153" s="2" t="s">
        <v>169</v>
      </c>
      <c r="F153" s="2" t="s">
        <v>170</v>
      </c>
      <c r="G153" s="2" t="s">
        <v>171</v>
      </c>
      <c r="H153" s="2" t="s">
        <v>35</v>
      </c>
      <c r="I153" s="2">
        <f>I151*J153</f>
        <v>499.75200000000001</v>
      </c>
      <c r="J153" s="2">
        <v>110.00000000000001</v>
      </c>
      <c r="K153" s="2">
        <v>110</v>
      </c>
      <c r="L153" s="2"/>
      <c r="M153" s="2"/>
      <c r="N153" s="2"/>
      <c r="O153" s="2">
        <f t="shared" si="165"/>
        <v>52573.9</v>
      </c>
      <c r="P153" s="2">
        <f t="shared" si="166"/>
        <v>52573.9</v>
      </c>
      <c r="Q153" s="2">
        <f t="shared" si="167"/>
        <v>0</v>
      </c>
      <c r="R153" s="2">
        <f t="shared" si="168"/>
        <v>0</v>
      </c>
      <c r="S153" s="2">
        <f t="shared" si="169"/>
        <v>0</v>
      </c>
      <c r="T153" s="2">
        <f t="shared" si="170"/>
        <v>0</v>
      </c>
      <c r="U153" s="2">
        <f t="shared" si="171"/>
        <v>0</v>
      </c>
      <c r="V153" s="2">
        <f t="shared" si="172"/>
        <v>0</v>
      </c>
      <c r="W153" s="2">
        <f t="shared" si="173"/>
        <v>0</v>
      </c>
      <c r="X153" s="2">
        <f t="shared" si="174"/>
        <v>0</v>
      </c>
      <c r="Y153" s="2">
        <f t="shared" si="175"/>
        <v>0</v>
      </c>
      <c r="Z153" s="2"/>
      <c r="AA153" s="2">
        <v>70322058</v>
      </c>
      <c r="AB153" s="2">
        <f t="shared" si="176"/>
        <v>104.99</v>
      </c>
      <c r="AC153" s="2">
        <f t="shared" si="177"/>
        <v>104.99</v>
      </c>
      <c r="AD153" s="2">
        <f t="shared" si="178"/>
        <v>0</v>
      </c>
      <c r="AE153" s="2">
        <f t="shared" si="179"/>
        <v>0</v>
      </c>
      <c r="AF153" s="2">
        <f t="shared" si="180"/>
        <v>0</v>
      </c>
      <c r="AG153" s="2">
        <f t="shared" si="181"/>
        <v>0</v>
      </c>
      <c r="AH153" s="2">
        <f t="shared" si="182"/>
        <v>0</v>
      </c>
      <c r="AI153" s="2">
        <f t="shared" si="183"/>
        <v>0</v>
      </c>
      <c r="AJ153" s="2">
        <f t="shared" si="184"/>
        <v>0</v>
      </c>
      <c r="AK153" s="2">
        <v>104.99</v>
      </c>
      <c r="AL153" s="2">
        <v>104.99</v>
      </c>
      <c r="AM153" s="2">
        <v>0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161</v>
      </c>
      <c r="AU153" s="2">
        <v>107</v>
      </c>
      <c r="AV153" s="2">
        <v>1.0469999999999999</v>
      </c>
      <c r="AW153" s="2">
        <v>1.002</v>
      </c>
      <c r="AX153" s="2"/>
      <c r="AY153" s="2"/>
      <c r="AZ153" s="2">
        <v>1</v>
      </c>
      <c r="BA153" s="2">
        <v>1</v>
      </c>
      <c r="BB153" s="2">
        <v>1</v>
      </c>
      <c r="BC153" s="2">
        <v>1</v>
      </c>
      <c r="BD153" s="2" t="s">
        <v>6</v>
      </c>
      <c r="BE153" s="2" t="s">
        <v>6</v>
      </c>
      <c r="BF153" s="2" t="s">
        <v>6</v>
      </c>
      <c r="BG153" s="2" t="s">
        <v>6</v>
      </c>
      <c r="BH153" s="2">
        <v>3</v>
      </c>
      <c r="BI153" s="2">
        <v>1</v>
      </c>
      <c r="BJ153" s="2" t="s">
        <v>172</v>
      </c>
      <c r="BK153" s="2"/>
      <c r="BL153" s="2"/>
      <c r="BM153" s="2">
        <v>146</v>
      </c>
      <c r="BN153" s="2">
        <v>0</v>
      </c>
      <c r="BO153" s="2" t="s">
        <v>6</v>
      </c>
      <c r="BP153" s="2">
        <v>0</v>
      </c>
      <c r="BQ153" s="2">
        <v>30</v>
      </c>
      <c r="BR153" s="2">
        <v>0</v>
      </c>
      <c r="BS153" s="2">
        <v>1</v>
      </c>
      <c r="BT153" s="2">
        <v>1</v>
      </c>
      <c r="BU153" s="2">
        <v>1</v>
      </c>
      <c r="BV153" s="2">
        <v>1</v>
      </c>
      <c r="BW153" s="2">
        <v>1</v>
      </c>
      <c r="BX153" s="2">
        <v>1</v>
      </c>
      <c r="BY153" s="2" t="s">
        <v>6</v>
      </c>
      <c r="BZ153" s="2">
        <v>161</v>
      </c>
      <c r="CA153" s="2">
        <v>107</v>
      </c>
      <c r="CB153" s="2" t="s">
        <v>6</v>
      </c>
      <c r="CC153" s="2"/>
      <c r="CD153" s="2"/>
      <c r="CE153" s="2">
        <v>30</v>
      </c>
      <c r="CF153" s="2">
        <v>0</v>
      </c>
      <c r="CG153" s="2">
        <v>0</v>
      </c>
      <c r="CH153" s="2"/>
      <c r="CI153" s="2"/>
      <c r="CJ153" s="2"/>
      <c r="CK153" s="2"/>
      <c r="CL153" s="2"/>
      <c r="CM153" s="2">
        <v>0</v>
      </c>
      <c r="CN153" s="2" t="s">
        <v>6</v>
      </c>
      <c r="CO153" s="2">
        <v>0</v>
      </c>
      <c r="CP153" s="2">
        <f t="shared" si="185"/>
        <v>52573.9</v>
      </c>
      <c r="CQ153" s="2">
        <f t="shared" si="186"/>
        <v>105.2</v>
      </c>
      <c r="CR153" s="2">
        <f t="shared" si="187"/>
        <v>0</v>
      </c>
      <c r="CS153" s="2">
        <f t="shared" si="188"/>
        <v>0</v>
      </c>
      <c r="CT153" s="2">
        <f t="shared" si="189"/>
        <v>0</v>
      </c>
      <c r="CU153" s="2">
        <f t="shared" si="190"/>
        <v>0</v>
      </c>
      <c r="CV153" s="2">
        <f t="shared" si="191"/>
        <v>0</v>
      </c>
      <c r="CW153" s="2">
        <f t="shared" si="192"/>
        <v>0</v>
      </c>
      <c r="CX153" s="2">
        <f t="shared" si="193"/>
        <v>0</v>
      </c>
      <c r="CY153" s="2">
        <f>((S153*BZ153)/100)</f>
        <v>0</v>
      </c>
      <c r="CZ153" s="2">
        <f>((S153*CA153)/100)</f>
        <v>0</v>
      </c>
      <c r="DA153" s="2"/>
      <c r="DB153" s="2"/>
      <c r="DC153" s="2" t="s">
        <v>6</v>
      </c>
      <c r="DD153" s="2" t="s">
        <v>6</v>
      </c>
      <c r="DE153" s="2" t="s">
        <v>6</v>
      </c>
      <c r="DF153" s="2" t="s">
        <v>6</v>
      </c>
      <c r="DG153" s="2" t="s">
        <v>6</v>
      </c>
      <c r="DH153" s="2" t="s">
        <v>6</v>
      </c>
      <c r="DI153" s="2" t="s">
        <v>6</v>
      </c>
      <c r="DJ153" s="2" t="s">
        <v>6</v>
      </c>
      <c r="DK153" s="2" t="s">
        <v>6</v>
      </c>
      <c r="DL153" s="2" t="s">
        <v>6</v>
      </c>
      <c r="DM153" s="2" t="s">
        <v>6</v>
      </c>
      <c r="DN153" s="2">
        <v>0</v>
      </c>
      <c r="DO153" s="2">
        <v>0</v>
      </c>
      <c r="DP153" s="2">
        <v>1</v>
      </c>
      <c r="DQ153" s="2">
        <v>1</v>
      </c>
      <c r="DR153" s="2"/>
      <c r="DS153" s="2"/>
      <c r="DT153" s="2"/>
      <c r="DU153" s="2">
        <v>1007</v>
      </c>
      <c r="DV153" s="2" t="s">
        <v>35</v>
      </c>
      <c r="DW153" s="2" t="s">
        <v>35</v>
      </c>
      <c r="DX153" s="2">
        <v>1</v>
      </c>
      <c r="DY153" s="2"/>
      <c r="DZ153" s="2" t="s">
        <v>6</v>
      </c>
      <c r="EA153" s="2" t="s">
        <v>6</v>
      </c>
      <c r="EB153" s="2" t="s">
        <v>6</v>
      </c>
      <c r="EC153" s="2" t="s">
        <v>6</v>
      </c>
      <c r="ED153" s="2"/>
      <c r="EE153" s="2">
        <v>69252771</v>
      </c>
      <c r="EF153" s="2">
        <v>30</v>
      </c>
      <c r="EG153" s="2" t="s">
        <v>29</v>
      </c>
      <c r="EH153" s="2">
        <v>0</v>
      </c>
      <c r="EI153" s="2" t="s">
        <v>6</v>
      </c>
      <c r="EJ153" s="2">
        <v>1</v>
      </c>
      <c r="EK153" s="2">
        <v>146</v>
      </c>
      <c r="EL153" s="2" t="s">
        <v>167</v>
      </c>
      <c r="EM153" s="2" t="s">
        <v>168</v>
      </c>
      <c r="EN153" s="2"/>
      <c r="EO153" s="2" t="s">
        <v>6</v>
      </c>
      <c r="EP153" s="2"/>
      <c r="EQ153" s="2">
        <v>0</v>
      </c>
      <c r="ER153" s="2">
        <v>104.99</v>
      </c>
      <c r="ES153" s="2">
        <v>104.99</v>
      </c>
      <c r="ET153" s="2">
        <v>0</v>
      </c>
      <c r="EU153" s="2">
        <v>0</v>
      </c>
      <c r="EV153" s="2">
        <v>0</v>
      </c>
      <c r="EW153" s="2">
        <v>0</v>
      </c>
      <c r="EX153" s="2">
        <v>0</v>
      </c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>
        <v>0</v>
      </c>
      <c r="FR153" s="2">
        <f t="shared" si="194"/>
        <v>0</v>
      </c>
      <c r="FS153" s="2">
        <v>0</v>
      </c>
      <c r="FT153" s="2"/>
      <c r="FU153" s="2"/>
      <c r="FV153" s="2"/>
      <c r="FW153" s="2"/>
      <c r="FX153" s="2">
        <v>161</v>
      </c>
      <c r="FY153" s="2">
        <v>107</v>
      </c>
      <c r="FZ153" s="2"/>
      <c r="GA153" s="2" t="s">
        <v>6</v>
      </c>
      <c r="GB153" s="2"/>
      <c r="GC153" s="2"/>
      <c r="GD153" s="2">
        <v>0</v>
      </c>
      <c r="GE153" s="2"/>
      <c r="GF153" s="2">
        <v>-2144627602</v>
      </c>
      <c r="GG153" s="2">
        <v>2</v>
      </c>
      <c r="GH153" s="2">
        <v>1</v>
      </c>
      <c r="GI153" s="2">
        <v>-2</v>
      </c>
      <c r="GJ153" s="2">
        <v>0</v>
      </c>
      <c r="GK153" s="2">
        <f>ROUND(R153*(R12)/100,2)</f>
        <v>0</v>
      </c>
      <c r="GL153" s="2">
        <f t="shared" si="195"/>
        <v>0</v>
      </c>
      <c r="GM153" s="2">
        <f t="shared" si="196"/>
        <v>52573.9</v>
      </c>
      <c r="GN153" s="2">
        <f t="shared" si="197"/>
        <v>52573.9</v>
      </c>
      <c r="GO153" s="2">
        <f t="shared" si="198"/>
        <v>0</v>
      </c>
      <c r="GP153" s="2">
        <f t="shared" si="199"/>
        <v>0</v>
      </c>
      <c r="GQ153" s="2"/>
      <c r="GR153" s="2">
        <v>0</v>
      </c>
      <c r="GS153" s="2">
        <v>3</v>
      </c>
      <c r="GT153" s="2">
        <v>0</v>
      </c>
      <c r="GU153" s="2" t="s">
        <v>6</v>
      </c>
      <c r="GV153" s="2">
        <f t="shared" si="200"/>
        <v>0</v>
      </c>
      <c r="GW153" s="2">
        <v>1</v>
      </c>
      <c r="GX153" s="2">
        <f t="shared" si="201"/>
        <v>0</v>
      </c>
      <c r="GY153" s="2"/>
      <c r="GZ153" s="2"/>
      <c r="HA153" s="2">
        <v>0</v>
      </c>
      <c r="HB153" s="2">
        <v>0</v>
      </c>
      <c r="HC153" s="2">
        <f t="shared" si="202"/>
        <v>0</v>
      </c>
      <c r="HD153" s="2"/>
      <c r="HE153" s="2" t="s">
        <v>6</v>
      </c>
      <c r="HF153" s="2" t="s">
        <v>6</v>
      </c>
      <c r="HG153" s="2"/>
      <c r="HH153" s="2"/>
      <c r="HI153" s="2"/>
      <c r="HJ153" s="2"/>
      <c r="HK153" s="2"/>
      <c r="HL153" s="2"/>
      <c r="HM153" s="2" t="s">
        <v>6</v>
      </c>
      <c r="HN153" s="2" t="s">
        <v>6</v>
      </c>
      <c r="HO153" s="2" t="s">
        <v>6</v>
      </c>
      <c r="HP153" s="2" t="s">
        <v>6</v>
      </c>
      <c r="HQ153" s="2" t="s">
        <v>6</v>
      </c>
      <c r="HR153" s="2"/>
      <c r="HS153" s="2"/>
      <c r="HT153" s="2"/>
      <c r="HU153" s="2"/>
      <c r="HV153" s="2"/>
      <c r="HW153" s="2"/>
      <c r="HX153" s="2"/>
      <c r="HY153" s="2"/>
      <c r="HZ153" s="2"/>
      <c r="IA153" s="2"/>
      <c r="IB153" s="2"/>
      <c r="IC153" s="2"/>
      <c r="ID153" s="2"/>
      <c r="IE153" s="2"/>
      <c r="IF153" s="2"/>
      <c r="IG153" s="2"/>
      <c r="IH153" s="2"/>
      <c r="II153" s="2"/>
      <c r="IJ153" s="2"/>
      <c r="IK153" s="2">
        <v>0</v>
      </c>
      <c r="IL153" s="2"/>
      <c r="IM153" s="2"/>
      <c r="IN153" s="2"/>
      <c r="IO153" s="2"/>
      <c r="IP153" s="2"/>
      <c r="IQ153" s="2"/>
      <c r="IR153" s="2"/>
      <c r="IS153" s="2"/>
      <c r="IT153" s="2"/>
      <c r="IU153" s="2"/>
    </row>
    <row r="154" spans="1:255">
      <c r="A154">
        <v>18</v>
      </c>
      <c r="B154">
        <v>1</v>
      </c>
      <c r="E154" t="s">
        <v>169</v>
      </c>
      <c r="F154" t="s">
        <v>170</v>
      </c>
      <c r="G154" t="s">
        <v>171</v>
      </c>
      <c r="H154" t="s">
        <v>35</v>
      </c>
      <c r="I154">
        <f>I152*J154</f>
        <v>499.75200000000001</v>
      </c>
      <c r="J154">
        <v>110.00000000000001</v>
      </c>
      <c r="K154">
        <v>110</v>
      </c>
      <c r="O154">
        <f t="shared" si="165"/>
        <v>450032.58</v>
      </c>
      <c r="P154">
        <f t="shared" si="166"/>
        <v>450032.58</v>
      </c>
      <c r="Q154">
        <f t="shared" si="167"/>
        <v>0</v>
      </c>
      <c r="R154">
        <f t="shared" si="168"/>
        <v>0</v>
      </c>
      <c r="S154">
        <f t="shared" si="169"/>
        <v>0</v>
      </c>
      <c r="T154">
        <f t="shared" si="170"/>
        <v>0</v>
      </c>
      <c r="U154">
        <f t="shared" si="171"/>
        <v>0</v>
      </c>
      <c r="V154">
        <f t="shared" si="172"/>
        <v>0</v>
      </c>
      <c r="W154">
        <f t="shared" si="173"/>
        <v>0</v>
      </c>
      <c r="X154">
        <f t="shared" si="174"/>
        <v>0</v>
      </c>
      <c r="Y154">
        <f t="shared" si="175"/>
        <v>0</v>
      </c>
      <c r="AA154">
        <v>70322059</v>
      </c>
      <c r="AB154">
        <f t="shared" si="176"/>
        <v>104.99</v>
      </c>
      <c r="AC154">
        <f t="shared" si="177"/>
        <v>104.99</v>
      </c>
      <c r="AD154">
        <f t="shared" si="178"/>
        <v>0</v>
      </c>
      <c r="AE154">
        <f t="shared" si="179"/>
        <v>0</v>
      </c>
      <c r="AF154">
        <f t="shared" si="180"/>
        <v>0</v>
      </c>
      <c r="AG154">
        <f t="shared" si="181"/>
        <v>0</v>
      </c>
      <c r="AH154">
        <f t="shared" si="182"/>
        <v>0</v>
      </c>
      <c r="AI154">
        <f t="shared" si="183"/>
        <v>0</v>
      </c>
      <c r="AJ154">
        <f t="shared" si="184"/>
        <v>0</v>
      </c>
      <c r="AK154">
        <v>104.99</v>
      </c>
      <c r="AL154">
        <v>104.99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1.0469999999999999</v>
      </c>
      <c r="AW154">
        <v>1.002</v>
      </c>
      <c r="AZ154">
        <v>1</v>
      </c>
      <c r="BA154">
        <v>1</v>
      </c>
      <c r="BB154">
        <v>1</v>
      </c>
      <c r="BC154">
        <v>8.56</v>
      </c>
      <c r="BD154" t="s">
        <v>6</v>
      </c>
      <c r="BE154" t="s">
        <v>6</v>
      </c>
      <c r="BF154" t="s">
        <v>6</v>
      </c>
      <c r="BG154" t="s">
        <v>6</v>
      </c>
      <c r="BH154">
        <v>3</v>
      </c>
      <c r="BI154">
        <v>1</v>
      </c>
      <c r="BJ154" t="s">
        <v>172</v>
      </c>
      <c r="BM154">
        <v>146</v>
      </c>
      <c r="BN154">
        <v>0</v>
      </c>
      <c r="BO154" t="s">
        <v>170</v>
      </c>
      <c r="BP154">
        <v>1</v>
      </c>
      <c r="BQ154">
        <v>30</v>
      </c>
      <c r="BR154">
        <v>0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6</v>
      </c>
      <c r="BZ154">
        <v>0</v>
      </c>
      <c r="CA154">
        <v>0</v>
      </c>
      <c r="CB154" t="s">
        <v>6</v>
      </c>
      <c r="CE154">
        <v>30</v>
      </c>
      <c r="CF154">
        <v>0</v>
      </c>
      <c r="CG154">
        <v>0</v>
      </c>
      <c r="CM154">
        <v>0</v>
      </c>
      <c r="CN154" t="s">
        <v>6</v>
      </c>
      <c r="CO154">
        <v>0</v>
      </c>
      <c r="CP154">
        <f t="shared" si="185"/>
        <v>450032.58</v>
      </c>
      <c r="CQ154">
        <f t="shared" si="186"/>
        <v>900.51</v>
      </c>
      <c r="CR154">
        <f t="shared" si="187"/>
        <v>0</v>
      </c>
      <c r="CS154">
        <f t="shared" si="188"/>
        <v>0</v>
      </c>
      <c r="CT154">
        <f t="shared" si="189"/>
        <v>0</v>
      </c>
      <c r="CU154">
        <f t="shared" si="190"/>
        <v>0</v>
      </c>
      <c r="CV154">
        <f t="shared" si="191"/>
        <v>0</v>
      </c>
      <c r="CW154">
        <f t="shared" si="192"/>
        <v>0</v>
      </c>
      <c r="CX154">
        <f t="shared" si="193"/>
        <v>0</v>
      </c>
      <c r="CY154">
        <f>S154*(BZ154/100)</f>
        <v>0</v>
      </c>
      <c r="CZ154">
        <f>S154*(CA154/100)</f>
        <v>0</v>
      </c>
      <c r="DC154" t="s">
        <v>6</v>
      </c>
      <c r="DD154" t="s">
        <v>6</v>
      </c>
      <c r="DE154" t="s">
        <v>6</v>
      </c>
      <c r="DF154" t="s">
        <v>6</v>
      </c>
      <c r="DG154" t="s">
        <v>6</v>
      </c>
      <c r="DH154" t="s">
        <v>6</v>
      </c>
      <c r="DI154" t="s">
        <v>6</v>
      </c>
      <c r="DJ154" t="s">
        <v>6</v>
      </c>
      <c r="DK154" t="s">
        <v>6</v>
      </c>
      <c r="DL154" t="s">
        <v>6</v>
      </c>
      <c r="DM154" t="s">
        <v>6</v>
      </c>
      <c r="DN154">
        <v>161</v>
      </c>
      <c r="DO154">
        <v>107</v>
      </c>
      <c r="DP154">
        <v>1.0469999999999999</v>
      </c>
      <c r="DQ154">
        <v>1.002</v>
      </c>
      <c r="DU154">
        <v>1007</v>
      </c>
      <c r="DV154" t="s">
        <v>35</v>
      </c>
      <c r="DW154" t="s">
        <v>35</v>
      </c>
      <c r="DX154">
        <v>1</v>
      </c>
      <c r="DZ154" t="s">
        <v>6</v>
      </c>
      <c r="EA154" t="s">
        <v>6</v>
      </c>
      <c r="EB154" t="s">
        <v>6</v>
      </c>
      <c r="EC154" t="s">
        <v>6</v>
      </c>
      <c r="EE154">
        <v>69252771</v>
      </c>
      <c r="EF154">
        <v>30</v>
      </c>
      <c r="EG154" t="s">
        <v>29</v>
      </c>
      <c r="EH154">
        <v>0</v>
      </c>
      <c r="EI154" t="s">
        <v>6</v>
      </c>
      <c r="EJ154">
        <v>1</v>
      </c>
      <c r="EK154">
        <v>146</v>
      </c>
      <c r="EL154" t="s">
        <v>167</v>
      </c>
      <c r="EM154" t="s">
        <v>168</v>
      </c>
      <c r="EO154" t="s">
        <v>6</v>
      </c>
      <c r="EQ154">
        <v>0</v>
      </c>
      <c r="ER154">
        <v>104.99</v>
      </c>
      <c r="ES154">
        <v>104.99</v>
      </c>
      <c r="ET154">
        <v>0</v>
      </c>
      <c r="EU154">
        <v>0</v>
      </c>
      <c r="EV154">
        <v>0</v>
      </c>
      <c r="EW154">
        <v>0</v>
      </c>
      <c r="EX154">
        <v>0</v>
      </c>
      <c r="FQ154">
        <v>0</v>
      </c>
      <c r="FR154">
        <f t="shared" si="194"/>
        <v>0</v>
      </c>
      <c r="FS154">
        <v>0</v>
      </c>
      <c r="FX154">
        <v>161</v>
      </c>
      <c r="FY154">
        <v>107</v>
      </c>
      <c r="GA154" t="s">
        <v>6</v>
      </c>
      <c r="GD154">
        <v>0</v>
      </c>
      <c r="GF154">
        <v>-2144627602</v>
      </c>
      <c r="GG154">
        <v>2</v>
      </c>
      <c r="GH154">
        <v>1</v>
      </c>
      <c r="GI154">
        <v>2</v>
      </c>
      <c r="GJ154">
        <v>0</v>
      </c>
      <c r="GK154">
        <f>ROUND(R154*(S12)/100,2)</f>
        <v>0</v>
      </c>
      <c r="GL154">
        <f t="shared" si="195"/>
        <v>0</v>
      </c>
      <c r="GM154">
        <f t="shared" si="196"/>
        <v>450032.58</v>
      </c>
      <c r="GN154">
        <f t="shared" si="197"/>
        <v>450032.58</v>
      </c>
      <c r="GO154">
        <f t="shared" si="198"/>
        <v>0</v>
      </c>
      <c r="GP154">
        <f t="shared" si="199"/>
        <v>0</v>
      </c>
      <c r="GR154">
        <v>0</v>
      </c>
      <c r="GS154">
        <v>0</v>
      </c>
      <c r="GT154">
        <v>0</v>
      </c>
      <c r="GU154" t="s">
        <v>6</v>
      </c>
      <c r="GV154">
        <f t="shared" si="200"/>
        <v>0</v>
      </c>
      <c r="GW154">
        <v>1</v>
      </c>
      <c r="GX154">
        <f t="shared" si="201"/>
        <v>0</v>
      </c>
      <c r="HA154">
        <v>0</v>
      </c>
      <c r="HB154">
        <v>0</v>
      </c>
      <c r="HC154">
        <f t="shared" si="202"/>
        <v>0</v>
      </c>
      <c r="HE154" t="s">
        <v>6</v>
      </c>
      <c r="HF154" t="s">
        <v>6</v>
      </c>
      <c r="HM154" t="s">
        <v>6</v>
      </c>
      <c r="HN154" t="s">
        <v>6</v>
      </c>
      <c r="HO154" t="s">
        <v>6</v>
      </c>
      <c r="HP154" t="s">
        <v>6</v>
      </c>
      <c r="HQ154" t="s">
        <v>6</v>
      </c>
      <c r="IK154">
        <v>0</v>
      </c>
    </row>
    <row r="155" spans="1:255">
      <c r="A155" s="2">
        <v>17</v>
      </c>
      <c r="B155" s="2">
        <v>1</v>
      </c>
      <c r="C155" s="2"/>
      <c r="D155" s="2"/>
      <c r="E155" s="2" t="s">
        <v>6</v>
      </c>
      <c r="F155" s="2" t="s">
        <v>173</v>
      </c>
      <c r="G155" s="2" t="s">
        <v>174</v>
      </c>
      <c r="H155" s="2" t="s">
        <v>156</v>
      </c>
      <c r="I155" s="2">
        <f>ROUND(11.4,9)</f>
        <v>11.4</v>
      </c>
      <c r="J155" s="2">
        <v>0</v>
      </c>
      <c r="K155" s="2">
        <f>ROUND(11.4,9)</f>
        <v>11.4</v>
      </c>
      <c r="L155" s="2"/>
      <c r="M155" s="2"/>
      <c r="N155" s="2"/>
      <c r="O155" s="2">
        <f t="shared" si="165"/>
        <v>193.23</v>
      </c>
      <c r="P155" s="2">
        <f t="shared" si="166"/>
        <v>193.23</v>
      </c>
      <c r="Q155" s="2">
        <f t="shared" si="167"/>
        <v>0</v>
      </c>
      <c r="R155" s="2">
        <f t="shared" si="168"/>
        <v>0</v>
      </c>
      <c r="S155" s="2">
        <f t="shared" si="169"/>
        <v>0</v>
      </c>
      <c r="T155" s="2">
        <f t="shared" si="170"/>
        <v>0</v>
      </c>
      <c r="U155" s="2">
        <f t="shared" si="171"/>
        <v>0</v>
      </c>
      <c r="V155" s="2">
        <f t="shared" si="172"/>
        <v>0</v>
      </c>
      <c r="W155" s="2">
        <f t="shared" si="173"/>
        <v>0</v>
      </c>
      <c r="X155" s="2">
        <f t="shared" si="174"/>
        <v>0</v>
      </c>
      <c r="Y155" s="2">
        <f t="shared" si="175"/>
        <v>0</v>
      </c>
      <c r="Z155" s="2"/>
      <c r="AA155" s="2">
        <v>-1</v>
      </c>
      <c r="AB155" s="2">
        <f t="shared" si="176"/>
        <v>16.95</v>
      </c>
      <c r="AC155" s="2">
        <f t="shared" si="177"/>
        <v>16.95</v>
      </c>
      <c r="AD155" s="2">
        <f t="shared" si="178"/>
        <v>0</v>
      </c>
      <c r="AE155" s="2">
        <f t="shared" si="179"/>
        <v>0</v>
      </c>
      <c r="AF155" s="2">
        <f t="shared" si="180"/>
        <v>0</v>
      </c>
      <c r="AG155" s="2">
        <f t="shared" si="181"/>
        <v>0</v>
      </c>
      <c r="AH155" s="2">
        <f t="shared" si="182"/>
        <v>0</v>
      </c>
      <c r="AI155" s="2">
        <f t="shared" si="183"/>
        <v>0</v>
      </c>
      <c r="AJ155" s="2">
        <f t="shared" si="184"/>
        <v>0</v>
      </c>
      <c r="AK155" s="2">
        <v>16.95</v>
      </c>
      <c r="AL155" s="2">
        <v>16.95</v>
      </c>
      <c r="AM155" s="2">
        <v>0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1</v>
      </c>
      <c r="AW155" s="2">
        <v>1</v>
      </c>
      <c r="AX155" s="2"/>
      <c r="AY155" s="2"/>
      <c r="AZ155" s="2">
        <v>1</v>
      </c>
      <c r="BA155" s="2">
        <v>1</v>
      </c>
      <c r="BB155" s="2">
        <v>1</v>
      </c>
      <c r="BC155" s="2">
        <v>1</v>
      </c>
      <c r="BD155" s="2" t="s">
        <v>6</v>
      </c>
      <c r="BE155" s="2" t="s">
        <v>6</v>
      </c>
      <c r="BF155" s="2" t="s">
        <v>6</v>
      </c>
      <c r="BG155" s="2" t="s">
        <v>6</v>
      </c>
      <c r="BH155" s="2">
        <v>3</v>
      </c>
      <c r="BI155" s="2">
        <v>1</v>
      </c>
      <c r="BJ155" s="2" t="s">
        <v>175</v>
      </c>
      <c r="BK155" s="2"/>
      <c r="BL155" s="2"/>
      <c r="BM155" s="2">
        <v>1617</v>
      </c>
      <c r="BN155" s="2">
        <v>0</v>
      </c>
      <c r="BO155" s="2" t="s">
        <v>6</v>
      </c>
      <c r="BP155" s="2">
        <v>0</v>
      </c>
      <c r="BQ155" s="2">
        <v>200</v>
      </c>
      <c r="BR155" s="2">
        <v>0</v>
      </c>
      <c r="BS155" s="2">
        <v>1</v>
      </c>
      <c r="BT155" s="2">
        <v>1</v>
      </c>
      <c r="BU155" s="2">
        <v>1</v>
      </c>
      <c r="BV155" s="2">
        <v>1</v>
      </c>
      <c r="BW155" s="2">
        <v>1</v>
      </c>
      <c r="BX155" s="2">
        <v>1</v>
      </c>
      <c r="BY155" s="2" t="s">
        <v>6</v>
      </c>
      <c r="BZ155" s="2">
        <v>0</v>
      </c>
      <c r="CA155" s="2">
        <v>0</v>
      </c>
      <c r="CB155" s="2" t="s">
        <v>6</v>
      </c>
      <c r="CC155" s="2"/>
      <c r="CD155" s="2"/>
      <c r="CE155" s="2">
        <v>30</v>
      </c>
      <c r="CF155" s="2">
        <v>0</v>
      </c>
      <c r="CG155" s="2">
        <v>0</v>
      </c>
      <c r="CH155" s="2"/>
      <c r="CI155" s="2"/>
      <c r="CJ155" s="2"/>
      <c r="CK155" s="2"/>
      <c r="CL155" s="2"/>
      <c r="CM155" s="2">
        <v>0</v>
      </c>
      <c r="CN155" s="2" t="s">
        <v>6</v>
      </c>
      <c r="CO155" s="2">
        <v>0</v>
      </c>
      <c r="CP155" s="2">
        <f t="shared" si="185"/>
        <v>193.23</v>
      </c>
      <c r="CQ155" s="2">
        <f t="shared" si="186"/>
        <v>16.95</v>
      </c>
      <c r="CR155" s="2">
        <f t="shared" si="187"/>
        <v>0</v>
      </c>
      <c r="CS155" s="2">
        <f t="shared" si="188"/>
        <v>0</v>
      </c>
      <c r="CT155" s="2">
        <f t="shared" si="189"/>
        <v>0</v>
      </c>
      <c r="CU155" s="2">
        <f t="shared" si="190"/>
        <v>0</v>
      </c>
      <c r="CV155" s="2">
        <f t="shared" si="191"/>
        <v>0</v>
      </c>
      <c r="CW155" s="2">
        <f t="shared" si="192"/>
        <v>0</v>
      </c>
      <c r="CX155" s="2">
        <f t="shared" si="193"/>
        <v>0</v>
      </c>
      <c r="CY155" s="2">
        <f>((S155*BZ155)/100)</f>
        <v>0</v>
      </c>
      <c r="CZ155" s="2">
        <f>((S155*CA155)/100)</f>
        <v>0</v>
      </c>
      <c r="DA155" s="2"/>
      <c r="DB155" s="2"/>
      <c r="DC155" s="2" t="s">
        <v>6</v>
      </c>
      <c r="DD155" s="2" t="s">
        <v>6</v>
      </c>
      <c r="DE155" s="2" t="s">
        <v>6</v>
      </c>
      <c r="DF155" s="2" t="s">
        <v>6</v>
      </c>
      <c r="DG155" s="2" t="s">
        <v>6</v>
      </c>
      <c r="DH155" s="2" t="s">
        <v>6</v>
      </c>
      <c r="DI155" s="2" t="s">
        <v>6</v>
      </c>
      <c r="DJ155" s="2" t="s">
        <v>6</v>
      </c>
      <c r="DK155" s="2" t="s">
        <v>6</v>
      </c>
      <c r="DL155" s="2" t="s">
        <v>6</v>
      </c>
      <c r="DM155" s="2" t="s">
        <v>6</v>
      </c>
      <c r="DN155" s="2">
        <v>0</v>
      </c>
      <c r="DO155" s="2">
        <v>0</v>
      </c>
      <c r="DP155" s="2">
        <v>1</v>
      </c>
      <c r="DQ155" s="2">
        <v>1</v>
      </c>
      <c r="DR155" s="2"/>
      <c r="DS155" s="2"/>
      <c r="DT155" s="2"/>
      <c r="DU155" s="2">
        <v>1005</v>
      </c>
      <c r="DV155" s="2" t="s">
        <v>156</v>
      </c>
      <c r="DW155" s="2" t="s">
        <v>156</v>
      </c>
      <c r="DX155" s="2">
        <v>1</v>
      </c>
      <c r="DY155" s="2"/>
      <c r="DZ155" s="2" t="s">
        <v>6</v>
      </c>
      <c r="EA155" s="2" t="s">
        <v>6</v>
      </c>
      <c r="EB155" s="2" t="s">
        <v>6</v>
      </c>
      <c r="EC155" s="2" t="s">
        <v>6</v>
      </c>
      <c r="ED155" s="2"/>
      <c r="EE155" s="2">
        <v>69254242</v>
      </c>
      <c r="EF155" s="2">
        <v>200</v>
      </c>
      <c r="EG155" s="2" t="s">
        <v>176</v>
      </c>
      <c r="EH155" s="2">
        <v>0</v>
      </c>
      <c r="EI155" s="2" t="s">
        <v>6</v>
      </c>
      <c r="EJ155" s="2">
        <v>1</v>
      </c>
      <c r="EK155" s="2">
        <v>1617</v>
      </c>
      <c r="EL155" s="2" t="s">
        <v>177</v>
      </c>
      <c r="EM155" s="2" t="s">
        <v>178</v>
      </c>
      <c r="EN155" s="2"/>
      <c r="EO155" s="2" t="s">
        <v>6</v>
      </c>
      <c r="EP155" s="2"/>
      <c r="EQ155" s="2">
        <v>1024</v>
      </c>
      <c r="ER155" s="2">
        <v>16.95</v>
      </c>
      <c r="ES155" s="2">
        <v>16.95</v>
      </c>
      <c r="ET155" s="2">
        <v>0</v>
      </c>
      <c r="EU155" s="2">
        <v>0</v>
      </c>
      <c r="EV155" s="2">
        <v>0</v>
      </c>
      <c r="EW155" s="2">
        <v>0</v>
      </c>
      <c r="EX155" s="2">
        <v>0</v>
      </c>
      <c r="EY155" s="2">
        <v>0</v>
      </c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>
        <v>0</v>
      </c>
      <c r="FR155" s="2">
        <f t="shared" si="194"/>
        <v>0</v>
      </c>
      <c r="FS155" s="2">
        <v>0</v>
      </c>
      <c r="FT155" s="2"/>
      <c r="FU155" s="2"/>
      <c r="FV155" s="2"/>
      <c r="FW155" s="2"/>
      <c r="FX155" s="2">
        <v>0</v>
      </c>
      <c r="FY155" s="2">
        <v>0</v>
      </c>
      <c r="FZ155" s="2"/>
      <c r="GA155" s="2" t="s">
        <v>6</v>
      </c>
      <c r="GB155" s="2"/>
      <c r="GC155" s="2"/>
      <c r="GD155" s="2">
        <v>0</v>
      </c>
      <c r="GE155" s="2"/>
      <c r="GF155" s="2">
        <v>-1614143938</v>
      </c>
      <c r="GG155" s="2">
        <v>2</v>
      </c>
      <c r="GH155" s="2">
        <v>1</v>
      </c>
      <c r="GI155" s="2">
        <v>-2</v>
      </c>
      <c r="GJ155" s="2">
        <v>0</v>
      </c>
      <c r="GK155" s="2">
        <f>ROUND(R155*(R12)/100,2)</f>
        <v>0</v>
      </c>
      <c r="GL155" s="2">
        <f t="shared" si="195"/>
        <v>0</v>
      </c>
      <c r="GM155" s="2">
        <f t="shared" si="196"/>
        <v>193.23</v>
      </c>
      <c r="GN155" s="2">
        <f t="shared" si="197"/>
        <v>193.23</v>
      </c>
      <c r="GO155" s="2">
        <f t="shared" si="198"/>
        <v>0</v>
      </c>
      <c r="GP155" s="2">
        <f t="shared" si="199"/>
        <v>0</v>
      </c>
      <c r="GQ155" s="2"/>
      <c r="GR155" s="2">
        <v>0</v>
      </c>
      <c r="GS155" s="2">
        <v>3</v>
      </c>
      <c r="GT155" s="2">
        <v>0</v>
      </c>
      <c r="GU155" s="2" t="s">
        <v>6</v>
      </c>
      <c r="GV155" s="2">
        <f t="shared" si="200"/>
        <v>0</v>
      </c>
      <c r="GW155" s="2">
        <v>1</v>
      </c>
      <c r="GX155" s="2">
        <f t="shared" si="201"/>
        <v>0</v>
      </c>
      <c r="GY155" s="2"/>
      <c r="GZ155" s="2"/>
      <c r="HA155" s="2">
        <v>0</v>
      </c>
      <c r="HB155" s="2">
        <v>0</v>
      </c>
      <c r="HC155" s="2">
        <f t="shared" si="202"/>
        <v>0</v>
      </c>
      <c r="HD155" s="2"/>
      <c r="HE155" s="2" t="s">
        <v>6</v>
      </c>
      <c r="HF155" s="2" t="s">
        <v>6</v>
      </c>
      <c r="HG155" s="2"/>
      <c r="HH155" s="2"/>
      <c r="HI155" s="2"/>
      <c r="HJ155" s="2"/>
      <c r="HK155" s="2"/>
      <c r="HL155" s="2"/>
      <c r="HM155" s="2" t="s">
        <v>6</v>
      </c>
      <c r="HN155" s="2" t="s">
        <v>6</v>
      </c>
      <c r="HO155" s="2" t="s">
        <v>6</v>
      </c>
      <c r="HP155" s="2" t="s">
        <v>6</v>
      </c>
      <c r="HQ155" s="2" t="s">
        <v>6</v>
      </c>
      <c r="HR155" s="2"/>
      <c r="HS155" s="2"/>
      <c r="HT155" s="2"/>
      <c r="HU155" s="2"/>
      <c r="HV155" s="2"/>
      <c r="HW155" s="2"/>
      <c r="HX155" s="2"/>
      <c r="HY155" s="2"/>
      <c r="HZ155" s="2"/>
      <c r="IA155" s="2"/>
      <c r="IB155" s="2"/>
      <c r="IC155" s="2"/>
      <c r="ID155" s="2"/>
      <c r="IE155" s="2"/>
      <c r="IF155" s="2"/>
      <c r="IG155" s="2"/>
      <c r="IH155" s="2"/>
      <c r="II155" s="2"/>
      <c r="IJ155" s="2"/>
      <c r="IK155" s="2">
        <v>0</v>
      </c>
      <c r="IL155" s="2"/>
      <c r="IM155" s="2"/>
      <c r="IN155" s="2"/>
      <c r="IO155" s="2"/>
      <c r="IP155" s="2"/>
      <c r="IQ155" s="2"/>
      <c r="IR155" s="2"/>
      <c r="IS155" s="2"/>
      <c r="IT155" s="2"/>
      <c r="IU155" s="2"/>
    </row>
    <row r="156" spans="1:255">
      <c r="A156">
        <v>17</v>
      </c>
      <c r="B156">
        <v>1</v>
      </c>
      <c r="E156" t="s">
        <v>6</v>
      </c>
      <c r="F156" t="s">
        <v>173</v>
      </c>
      <c r="G156" t="s">
        <v>174</v>
      </c>
      <c r="H156" t="s">
        <v>156</v>
      </c>
      <c r="I156">
        <f>ROUND(11.4,9)</f>
        <v>11.4</v>
      </c>
      <c r="J156">
        <v>0</v>
      </c>
      <c r="K156">
        <f>ROUND(11.4,9)</f>
        <v>11.4</v>
      </c>
      <c r="O156">
        <f t="shared" si="165"/>
        <v>361.34</v>
      </c>
      <c r="P156">
        <f t="shared" si="166"/>
        <v>361.34</v>
      </c>
      <c r="Q156">
        <f t="shared" si="167"/>
        <v>0</v>
      </c>
      <c r="R156">
        <f t="shared" si="168"/>
        <v>0</v>
      </c>
      <c r="S156">
        <f t="shared" si="169"/>
        <v>0</v>
      </c>
      <c r="T156">
        <f t="shared" si="170"/>
        <v>0</v>
      </c>
      <c r="U156">
        <f t="shared" si="171"/>
        <v>0</v>
      </c>
      <c r="V156">
        <f t="shared" si="172"/>
        <v>0</v>
      </c>
      <c r="W156">
        <f t="shared" si="173"/>
        <v>0</v>
      </c>
      <c r="X156">
        <f t="shared" si="174"/>
        <v>0</v>
      </c>
      <c r="Y156">
        <f t="shared" si="175"/>
        <v>0</v>
      </c>
      <c r="AA156">
        <v>-1</v>
      </c>
      <c r="AB156">
        <f t="shared" si="176"/>
        <v>16.95</v>
      </c>
      <c r="AC156">
        <f t="shared" si="177"/>
        <v>16.95</v>
      </c>
      <c r="AD156">
        <f t="shared" si="178"/>
        <v>0</v>
      </c>
      <c r="AE156">
        <f t="shared" si="179"/>
        <v>0</v>
      </c>
      <c r="AF156">
        <f t="shared" si="180"/>
        <v>0</v>
      </c>
      <c r="AG156">
        <f t="shared" si="181"/>
        <v>0</v>
      </c>
      <c r="AH156">
        <f t="shared" si="182"/>
        <v>0</v>
      </c>
      <c r="AI156">
        <f t="shared" si="183"/>
        <v>0</v>
      </c>
      <c r="AJ156">
        <f t="shared" si="184"/>
        <v>0</v>
      </c>
      <c r="AK156">
        <v>16.95</v>
      </c>
      <c r="AL156">
        <v>16.95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1.87</v>
      </c>
      <c r="BD156" t="s">
        <v>6</v>
      </c>
      <c r="BE156" t="s">
        <v>6</v>
      </c>
      <c r="BF156" t="s">
        <v>6</v>
      </c>
      <c r="BG156" t="s">
        <v>6</v>
      </c>
      <c r="BH156">
        <v>3</v>
      </c>
      <c r="BI156">
        <v>1</v>
      </c>
      <c r="BJ156" t="s">
        <v>175</v>
      </c>
      <c r="BM156">
        <v>1617</v>
      </c>
      <c r="BN156">
        <v>0</v>
      </c>
      <c r="BO156" t="s">
        <v>173</v>
      </c>
      <c r="BP156">
        <v>1</v>
      </c>
      <c r="BQ156">
        <v>200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6</v>
      </c>
      <c r="BZ156">
        <v>0</v>
      </c>
      <c r="CA156">
        <v>0</v>
      </c>
      <c r="CB156" t="s">
        <v>6</v>
      </c>
      <c r="CE156">
        <v>30</v>
      </c>
      <c r="CF156">
        <v>0</v>
      </c>
      <c r="CG156">
        <v>0</v>
      </c>
      <c r="CM156">
        <v>0</v>
      </c>
      <c r="CN156" t="s">
        <v>6</v>
      </c>
      <c r="CO156">
        <v>0</v>
      </c>
      <c r="CP156">
        <f t="shared" si="185"/>
        <v>361.34</v>
      </c>
      <c r="CQ156">
        <f t="shared" si="186"/>
        <v>31.7</v>
      </c>
      <c r="CR156">
        <f t="shared" si="187"/>
        <v>0</v>
      </c>
      <c r="CS156">
        <f t="shared" si="188"/>
        <v>0</v>
      </c>
      <c r="CT156">
        <f t="shared" si="189"/>
        <v>0</v>
      </c>
      <c r="CU156">
        <f t="shared" si="190"/>
        <v>0</v>
      </c>
      <c r="CV156">
        <f t="shared" si="191"/>
        <v>0</v>
      </c>
      <c r="CW156">
        <f t="shared" si="192"/>
        <v>0</v>
      </c>
      <c r="CX156">
        <f t="shared" si="193"/>
        <v>0</v>
      </c>
      <c r="CY156">
        <f>S156*(BZ156/100)</f>
        <v>0</v>
      </c>
      <c r="CZ156">
        <f>S156*(CA156/100)</f>
        <v>0</v>
      </c>
      <c r="DC156" t="s">
        <v>6</v>
      </c>
      <c r="DD156" t="s">
        <v>6</v>
      </c>
      <c r="DE156" t="s">
        <v>6</v>
      </c>
      <c r="DF156" t="s">
        <v>6</v>
      </c>
      <c r="DG156" t="s">
        <v>6</v>
      </c>
      <c r="DH156" t="s">
        <v>6</v>
      </c>
      <c r="DI156" t="s">
        <v>6</v>
      </c>
      <c r="DJ156" t="s">
        <v>6</v>
      </c>
      <c r="DK156" t="s">
        <v>6</v>
      </c>
      <c r="DL156" t="s">
        <v>6</v>
      </c>
      <c r="DM156" t="s">
        <v>6</v>
      </c>
      <c r="DN156">
        <v>0</v>
      </c>
      <c r="DO156">
        <v>0</v>
      </c>
      <c r="DP156">
        <v>1</v>
      </c>
      <c r="DQ156">
        <v>1</v>
      </c>
      <c r="DU156">
        <v>1005</v>
      </c>
      <c r="DV156" t="s">
        <v>156</v>
      </c>
      <c r="DW156" t="s">
        <v>156</v>
      </c>
      <c r="DX156">
        <v>1</v>
      </c>
      <c r="DZ156" t="s">
        <v>6</v>
      </c>
      <c r="EA156" t="s">
        <v>6</v>
      </c>
      <c r="EB156" t="s">
        <v>6</v>
      </c>
      <c r="EC156" t="s">
        <v>6</v>
      </c>
      <c r="EE156">
        <v>69254242</v>
      </c>
      <c r="EF156">
        <v>200</v>
      </c>
      <c r="EG156" t="s">
        <v>176</v>
      </c>
      <c r="EH156">
        <v>0</v>
      </c>
      <c r="EI156" t="s">
        <v>6</v>
      </c>
      <c r="EJ156">
        <v>1</v>
      </c>
      <c r="EK156">
        <v>1617</v>
      </c>
      <c r="EL156" t="s">
        <v>177</v>
      </c>
      <c r="EM156" t="s">
        <v>178</v>
      </c>
      <c r="EO156" t="s">
        <v>6</v>
      </c>
      <c r="EQ156">
        <v>1024</v>
      </c>
      <c r="ER156">
        <v>16.95</v>
      </c>
      <c r="ES156">
        <v>16.95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FQ156">
        <v>0</v>
      </c>
      <c r="FR156">
        <f t="shared" si="194"/>
        <v>0</v>
      </c>
      <c r="FS156">
        <v>0</v>
      </c>
      <c r="FX156">
        <v>0</v>
      </c>
      <c r="FY156">
        <v>0</v>
      </c>
      <c r="GA156" t="s">
        <v>6</v>
      </c>
      <c r="GD156">
        <v>0</v>
      </c>
      <c r="GF156">
        <v>-1614143938</v>
      </c>
      <c r="GG156">
        <v>2</v>
      </c>
      <c r="GH156">
        <v>1</v>
      </c>
      <c r="GI156">
        <v>2</v>
      </c>
      <c r="GJ156">
        <v>0</v>
      </c>
      <c r="GK156">
        <f>ROUND(R156*(S12)/100,2)</f>
        <v>0</v>
      </c>
      <c r="GL156">
        <f t="shared" si="195"/>
        <v>0</v>
      </c>
      <c r="GM156">
        <f t="shared" si="196"/>
        <v>361.34</v>
      </c>
      <c r="GN156">
        <f t="shared" si="197"/>
        <v>361.34</v>
      </c>
      <c r="GO156">
        <f t="shared" si="198"/>
        <v>0</v>
      </c>
      <c r="GP156">
        <f t="shared" si="199"/>
        <v>0</v>
      </c>
      <c r="GR156">
        <v>0</v>
      </c>
      <c r="GS156">
        <v>0</v>
      </c>
      <c r="GT156">
        <v>0</v>
      </c>
      <c r="GU156" t="s">
        <v>6</v>
      </c>
      <c r="GV156">
        <f t="shared" si="200"/>
        <v>0</v>
      </c>
      <c r="GW156">
        <v>1</v>
      </c>
      <c r="GX156">
        <f t="shared" si="201"/>
        <v>0</v>
      </c>
      <c r="HA156">
        <v>0</v>
      </c>
      <c r="HB156">
        <v>0</v>
      </c>
      <c r="HC156">
        <f t="shared" si="202"/>
        <v>0</v>
      </c>
      <c r="HE156" t="s">
        <v>6</v>
      </c>
      <c r="HF156" t="s">
        <v>6</v>
      </c>
      <c r="HM156" t="s">
        <v>6</v>
      </c>
      <c r="HN156" t="s">
        <v>6</v>
      </c>
      <c r="HO156" t="s">
        <v>6</v>
      </c>
      <c r="HP156" t="s">
        <v>6</v>
      </c>
      <c r="HQ156" t="s">
        <v>6</v>
      </c>
      <c r="IK156">
        <v>0</v>
      </c>
    </row>
    <row r="157" spans="1:255">
      <c r="A157" s="2">
        <v>17</v>
      </c>
      <c r="B157" s="2">
        <v>1</v>
      </c>
      <c r="C157" s="2"/>
      <c r="D157" s="2"/>
      <c r="E157" s="2" t="s">
        <v>179</v>
      </c>
      <c r="F157" s="2" t="s">
        <v>180</v>
      </c>
      <c r="G157" s="2" t="s">
        <v>181</v>
      </c>
      <c r="H157" s="2" t="s">
        <v>165</v>
      </c>
      <c r="I157" s="2">
        <f>ROUND((1514.4*0.15)/100,9)</f>
        <v>2.2715999999999998</v>
      </c>
      <c r="J157" s="2">
        <v>0</v>
      </c>
      <c r="K157" s="2">
        <f>ROUND((1514.4*0.15)/100,9)</f>
        <v>2.2715999999999998</v>
      </c>
      <c r="L157" s="2"/>
      <c r="M157" s="2"/>
      <c r="N157" s="2"/>
      <c r="O157" s="2">
        <f t="shared" si="165"/>
        <v>13471.24</v>
      </c>
      <c r="P157" s="2">
        <f t="shared" si="166"/>
        <v>112.65</v>
      </c>
      <c r="Q157" s="2">
        <f t="shared" si="167"/>
        <v>12818.15</v>
      </c>
      <c r="R157" s="2">
        <f t="shared" si="168"/>
        <v>961.62</v>
      </c>
      <c r="S157" s="2">
        <f t="shared" si="169"/>
        <v>540.44000000000005</v>
      </c>
      <c r="T157" s="2">
        <f t="shared" si="170"/>
        <v>0</v>
      </c>
      <c r="U157" s="2">
        <f t="shared" si="171"/>
        <v>51.372688320000002</v>
      </c>
      <c r="V157" s="2">
        <f t="shared" si="172"/>
        <v>0</v>
      </c>
      <c r="W157" s="2">
        <f t="shared" si="173"/>
        <v>0</v>
      </c>
      <c r="X157" s="2">
        <f t="shared" si="174"/>
        <v>870.11</v>
      </c>
      <c r="Y157" s="2">
        <f t="shared" si="175"/>
        <v>578.27</v>
      </c>
      <c r="Z157" s="2"/>
      <c r="AA157" s="2">
        <v>70322058</v>
      </c>
      <c r="AB157" s="2">
        <f t="shared" si="176"/>
        <v>5666.2</v>
      </c>
      <c r="AC157" s="2">
        <f t="shared" si="177"/>
        <v>49.49</v>
      </c>
      <c r="AD157" s="2">
        <f t="shared" si="178"/>
        <v>5389.48</v>
      </c>
      <c r="AE157" s="2">
        <f t="shared" si="179"/>
        <v>404.32</v>
      </c>
      <c r="AF157" s="2">
        <f t="shared" si="180"/>
        <v>227.23</v>
      </c>
      <c r="AG157" s="2">
        <f t="shared" si="181"/>
        <v>0</v>
      </c>
      <c r="AH157" s="2">
        <f t="shared" si="182"/>
        <v>21.6</v>
      </c>
      <c r="AI157" s="2">
        <f t="shared" si="183"/>
        <v>0</v>
      </c>
      <c r="AJ157" s="2">
        <f t="shared" si="184"/>
        <v>0</v>
      </c>
      <c r="AK157" s="2">
        <v>5666.2</v>
      </c>
      <c r="AL157" s="2">
        <v>49.49</v>
      </c>
      <c r="AM157" s="2">
        <v>5389.48</v>
      </c>
      <c r="AN157" s="2">
        <v>404.32</v>
      </c>
      <c r="AO157" s="2">
        <v>227.23</v>
      </c>
      <c r="AP157" s="2">
        <v>0</v>
      </c>
      <c r="AQ157" s="2">
        <v>21.6</v>
      </c>
      <c r="AR157" s="2">
        <v>0</v>
      </c>
      <c r="AS157" s="2">
        <v>0</v>
      </c>
      <c r="AT157" s="2">
        <v>161</v>
      </c>
      <c r="AU157" s="2">
        <v>107</v>
      </c>
      <c r="AV157" s="2">
        <v>1.0469999999999999</v>
      </c>
      <c r="AW157" s="2">
        <v>1.002</v>
      </c>
      <c r="AX157" s="2"/>
      <c r="AY157" s="2"/>
      <c r="AZ157" s="2">
        <v>1</v>
      </c>
      <c r="BA157" s="2">
        <v>1</v>
      </c>
      <c r="BB157" s="2">
        <v>1</v>
      </c>
      <c r="BC157" s="2">
        <v>1</v>
      </c>
      <c r="BD157" s="2" t="s">
        <v>6</v>
      </c>
      <c r="BE157" s="2" t="s">
        <v>6</v>
      </c>
      <c r="BF157" s="2" t="s">
        <v>6</v>
      </c>
      <c r="BG157" s="2" t="s">
        <v>6</v>
      </c>
      <c r="BH157" s="2">
        <v>0</v>
      </c>
      <c r="BI157" s="2">
        <v>1</v>
      </c>
      <c r="BJ157" s="2" t="s">
        <v>182</v>
      </c>
      <c r="BK157" s="2"/>
      <c r="BL157" s="2"/>
      <c r="BM157" s="2">
        <v>146</v>
      </c>
      <c r="BN157" s="2">
        <v>0</v>
      </c>
      <c r="BO157" s="2" t="s">
        <v>6</v>
      </c>
      <c r="BP157" s="2">
        <v>0</v>
      </c>
      <c r="BQ157" s="2">
        <v>30</v>
      </c>
      <c r="BR157" s="2">
        <v>0</v>
      </c>
      <c r="BS157" s="2">
        <v>1</v>
      </c>
      <c r="BT157" s="2">
        <v>1</v>
      </c>
      <c r="BU157" s="2">
        <v>1</v>
      </c>
      <c r="BV157" s="2">
        <v>1</v>
      </c>
      <c r="BW157" s="2">
        <v>1</v>
      </c>
      <c r="BX157" s="2">
        <v>1</v>
      </c>
      <c r="BY157" s="2" t="s">
        <v>6</v>
      </c>
      <c r="BZ157" s="2">
        <v>161</v>
      </c>
      <c r="CA157" s="2">
        <v>107</v>
      </c>
      <c r="CB157" s="2" t="s">
        <v>6</v>
      </c>
      <c r="CC157" s="2"/>
      <c r="CD157" s="2"/>
      <c r="CE157" s="2">
        <v>30</v>
      </c>
      <c r="CF157" s="2">
        <v>0</v>
      </c>
      <c r="CG157" s="2">
        <v>0</v>
      </c>
      <c r="CH157" s="2"/>
      <c r="CI157" s="2"/>
      <c r="CJ157" s="2"/>
      <c r="CK157" s="2"/>
      <c r="CL157" s="2"/>
      <c r="CM157" s="2">
        <v>0</v>
      </c>
      <c r="CN157" s="2" t="s">
        <v>6</v>
      </c>
      <c r="CO157" s="2">
        <v>0</v>
      </c>
      <c r="CP157" s="2">
        <f t="shared" si="185"/>
        <v>13471.24</v>
      </c>
      <c r="CQ157" s="2">
        <f t="shared" si="186"/>
        <v>49.59</v>
      </c>
      <c r="CR157" s="2">
        <f t="shared" si="187"/>
        <v>5642.79</v>
      </c>
      <c r="CS157" s="2">
        <f t="shared" si="188"/>
        <v>423.32</v>
      </c>
      <c r="CT157" s="2">
        <f t="shared" si="189"/>
        <v>237.91</v>
      </c>
      <c r="CU157" s="2">
        <f t="shared" si="190"/>
        <v>0</v>
      </c>
      <c r="CV157" s="2">
        <f t="shared" si="191"/>
        <v>22.615200000000002</v>
      </c>
      <c r="CW157" s="2">
        <f t="shared" si="192"/>
        <v>0</v>
      </c>
      <c r="CX157" s="2">
        <f t="shared" si="193"/>
        <v>0</v>
      </c>
      <c r="CY157" s="2">
        <f>((S157*BZ157)/100)</f>
        <v>870.10840000000007</v>
      </c>
      <c r="CZ157" s="2">
        <f>((S157*CA157)/100)</f>
        <v>578.27080000000012</v>
      </c>
      <c r="DA157" s="2"/>
      <c r="DB157" s="2"/>
      <c r="DC157" s="2" t="s">
        <v>6</v>
      </c>
      <c r="DD157" s="2" t="s">
        <v>6</v>
      </c>
      <c r="DE157" s="2" t="s">
        <v>6</v>
      </c>
      <c r="DF157" s="2" t="s">
        <v>6</v>
      </c>
      <c r="DG157" s="2" t="s">
        <v>6</v>
      </c>
      <c r="DH157" s="2" t="s">
        <v>6</v>
      </c>
      <c r="DI157" s="2" t="s">
        <v>6</v>
      </c>
      <c r="DJ157" s="2" t="s">
        <v>6</v>
      </c>
      <c r="DK157" s="2" t="s">
        <v>6</v>
      </c>
      <c r="DL157" s="2" t="s">
        <v>6</v>
      </c>
      <c r="DM157" s="2" t="s">
        <v>6</v>
      </c>
      <c r="DN157" s="2">
        <v>0</v>
      </c>
      <c r="DO157" s="2">
        <v>0</v>
      </c>
      <c r="DP157" s="2">
        <v>1</v>
      </c>
      <c r="DQ157" s="2">
        <v>1</v>
      </c>
      <c r="DR157" s="2"/>
      <c r="DS157" s="2"/>
      <c r="DT157" s="2"/>
      <c r="DU157" s="2">
        <v>1013</v>
      </c>
      <c r="DV157" s="2" t="s">
        <v>165</v>
      </c>
      <c r="DW157" s="2" t="s">
        <v>165</v>
      </c>
      <c r="DX157" s="2">
        <v>1</v>
      </c>
      <c r="DY157" s="2"/>
      <c r="DZ157" s="2" t="s">
        <v>6</v>
      </c>
      <c r="EA157" s="2" t="s">
        <v>6</v>
      </c>
      <c r="EB157" s="2" t="s">
        <v>6</v>
      </c>
      <c r="EC157" s="2" t="s">
        <v>6</v>
      </c>
      <c r="ED157" s="2"/>
      <c r="EE157" s="2">
        <v>69252771</v>
      </c>
      <c r="EF157" s="2">
        <v>30</v>
      </c>
      <c r="EG157" s="2" t="s">
        <v>29</v>
      </c>
      <c r="EH157" s="2">
        <v>0</v>
      </c>
      <c r="EI157" s="2" t="s">
        <v>6</v>
      </c>
      <c r="EJ157" s="2">
        <v>1</v>
      </c>
      <c r="EK157" s="2">
        <v>146</v>
      </c>
      <c r="EL157" s="2" t="s">
        <v>167</v>
      </c>
      <c r="EM157" s="2" t="s">
        <v>168</v>
      </c>
      <c r="EN157" s="2"/>
      <c r="EO157" s="2" t="s">
        <v>6</v>
      </c>
      <c r="EP157" s="2"/>
      <c r="EQ157" s="2">
        <v>0</v>
      </c>
      <c r="ER157" s="2">
        <v>5666.2</v>
      </c>
      <c r="ES157" s="2">
        <v>49.49</v>
      </c>
      <c r="ET157" s="2">
        <v>5389.48</v>
      </c>
      <c r="EU157" s="2">
        <v>404.32</v>
      </c>
      <c r="EV157" s="2">
        <v>227.23</v>
      </c>
      <c r="EW157" s="2">
        <v>21.6</v>
      </c>
      <c r="EX157" s="2">
        <v>0</v>
      </c>
      <c r="EY157" s="2">
        <v>0</v>
      </c>
      <c r="EZ157" s="2"/>
      <c r="FA157" s="2"/>
      <c r="FB157" s="2"/>
      <c r="FC157" s="2"/>
      <c r="FD157" s="2"/>
      <c r="FE157" s="2"/>
      <c r="FF157" s="2"/>
      <c r="FG157" s="2"/>
      <c r="FH157" s="2"/>
      <c r="FI157" s="2"/>
      <c r="FJ157" s="2"/>
      <c r="FK157" s="2"/>
      <c r="FL157" s="2"/>
      <c r="FM157" s="2"/>
      <c r="FN157" s="2"/>
      <c r="FO157" s="2"/>
      <c r="FP157" s="2"/>
      <c r="FQ157" s="2">
        <v>0</v>
      </c>
      <c r="FR157" s="2">
        <f t="shared" si="194"/>
        <v>0</v>
      </c>
      <c r="FS157" s="2">
        <v>0</v>
      </c>
      <c r="FT157" s="2"/>
      <c r="FU157" s="2"/>
      <c r="FV157" s="2"/>
      <c r="FW157" s="2"/>
      <c r="FX157" s="2">
        <v>161</v>
      </c>
      <c r="FY157" s="2">
        <v>107</v>
      </c>
      <c r="FZ157" s="2"/>
      <c r="GA157" s="2" t="s">
        <v>6</v>
      </c>
      <c r="GB157" s="2"/>
      <c r="GC157" s="2"/>
      <c r="GD157" s="2">
        <v>0</v>
      </c>
      <c r="GE157" s="2"/>
      <c r="GF157" s="2">
        <v>-2117176836</v>
      </c>
      <c r="GG157" s="2">
        <v>2</v>
      </c>
      <c r="GH157" s="2">
        <v>1</v>
      </c>
      <c r="GI157" s="2">
        <v>-2</v>
      </c>
      <c r="GJ157" s="2">
        <v>0</v>
      </c>
      <c r="GK157" s="2">
        <f>ROUND(R157*(R12)/100,2)</f>
        <v>1682.84</v>
      </c>
      <c r="GL157" s="2">
        <f t="shared" si="195"/>
        <v>0</v>
      </c>
      <c r="GM157" s="2">
        <f t="shared" si="196"/>
        <v>16602.46</v>
      </c>
      <c r="GN157" s="2">
        <f t="shared" si="197"/>
        <v>16602.46</v>
      </c>
      <c r="GO157" s="2">
        <f t="shared" si="198"/>
        <v>0</v>
      </c>
      <c r="GP157" s="2">
        <f t="shared" si="199"/>
        <v>0</v>
      </c>
      <c r="GQ157" s="2"/>
      <c r="GR157" s="2">
        <v>0</v>
      </c>
      <c r="GS157" s="2">
        <v>3</v>
      </c>
      <c r="GT157" s="2">
        <v>0</v>
      </c>
      <c r="GU157" s="2" t="s">
        <v>6</v>
      </c>
      <c r="GV157" s="2">
        <f t="shared" si="200"/>
        <v>0</v>
      </c>
      <c r="GW157" s="2">
        <v>1</v>
      </c>
      <c r="GX157" s="2">
        <f t="shared" si="201"/>
        <v>0</v>
      </c>
      <c r="GY157" s="2"/>
      <c r="GZ157" s="2"/>
      <c r="HA157" s="2">
        <v>0</v>
      </c>
      <c r="HB157" s="2">
        <v>0</v>
      </c>
      <c r="HC157" s="2">
        <f t="shared" si="202"/>
        <v>0</v>
      </c>
      <c r="HD157" s="2"/>
      <c r="HE157" s="2" t="s">
        <v>6</v>
      </c>
      <c r="HF157" s="2" t="s">
        <v>6</v>
      </c>
      <c r="HG157" s="2"/>
      <c r="HH157" s="2"/>
      <c r="HI157" s="2"/>
      <c r="HJ157" s="2"/>
      <c r="HK157" s="2"/>
      <c r="HL157" s="2"/>
      <c r="HM157" s="2" t="s">
        <v>6</v>
      </c>
      <c r="HN157" s="2" t="s">
        <v>6</v>
      </c>
      <c r="HO157" s="2" t="s">
        <v>6</v>
      </c>
      <c r="HP157" s="2" t="s">
        <v>6</v>
      </c>
      <c r="HQ157" s="2" t="s">
        <v>6</v>
      </c>
      <c r="HR157" s="2"/>
      <c r="HS157" s="2"/>
      <c r="HT157" s="2"/>
      <c r="HU157" s="2"/>
      <c r="HV157" s="2"/>
      <c r="HW157" s="2"/>
      <c r="HX157" s="2"/>
      <c r="HY157" s="2"/>
      <c r="HZ157" s="2"/>
      <c r="IA157" s="2"/>
      <c r="IB157" s="2"/>
      <c r="IC157" s="2"/>
      <c r="ID157" s="2"/>
      <c r="IE157" s="2"/>
      <c r="IF157" s="2"/>
      <c r="IG157" s="2"/>
      <c r="IH157" s="2"/>
      <c r="II157" s="2"/>
      <c r="IJ157" s="2"/>
      <c r="IK157" s="2">
        <v>0</v>
      </c>
      <c r="IL157" s="2"/>
      <c r="IM157" s="2"/>
      <c r="IN157" s="2"/>
      <c r="IO157" s="2"/>
      <c r="IP157" s="2"/>
      <c r="IQ157" s="2"/>
      <c r="IR157" s="2"/>
      <c r="IS157" s="2"/>
      <c r="IT157" s="2"/>
      <c r="IU157" s="2"/>
    </row>
    <row r="158" spans="1:255">
      <c r="A158">
        <v>17</v>
      </c>
      <c r="B158">
        <v>1</v>
      </c>
      <c r="E158" t="s">
        <v>179</v>
      </c>
      <c r="F158" t="s">
        <v>180</v>
      </c>
      <c r="G158" t="s">
        <v>181</v>
      </c>
      <c r="H158" t="s">
        <v>165</v>
      </c>
      <c r="I158">
        <f>ROUND((1514.4*0.15)/100,9)</f>
        <v>2.2715999999999998</v>
      </c>
      <c r="J158">
        <v>0</v>
      </c>
      <c r="K158">
        <f>ROUND((1514.4*0.15)/100,9)</f>
        <v>2.2715999999999998</v>
      </c>
      <c r="O158">
        <f t="shared" si="165"/>
        <v>192139.73</v>
      </c>
      <c r="P158">
        <f t="shared" si="166"/>
        <v>794.18</v>
      </c>
      <c r="Q158">
        <f t="shared" si="167"/>
        <v>166123.22</v>
      </c>
      <c r="R158">
        <f t="shared" si="168"/>
        <v>44878.81</v>
      </c>
      <c r="S158">
        <f t="shared" si="169"/>
        <v>25222.33</v>
      </c>
      <c r="T158">
        <f t="shared" si="170"/>
        <v>0</v>
      </c>
      <c r="U158">
        <f t="shared" si="171"/>
        <v>51.372688320000002</v>
      </c>
      <c r="V158">
        <f t="shared" si="172"/>
        <v>0</v>
      </c>
      <c r="W158">
        <f t="shared" si="173"/>
        <v>0</v>
      </c>
      <c r="X158">
        <f t="shared" si="174"/>
        <v>33797.919999999998</v>
      </c>
      <c r="Y158">
        <f t="shared" si="175"/>
        <v>13872.28</v>
      </c>
      <c r="AA158">
        <v>70322059</v>
      </c>
      <c r="AB158">
        <f t="shared" si="176"/>
        <v>5666.2</v>
      </c>
      <c r="AC158">
        <f t="shared" si="177"/>
        <v>49.49</v>
      </c>
      <c r="AD158">
        <f t="shared" si="178"/>
        <v>5389.48</v>
      </c>
      <c r="AE158">
        <f t="shared" si="179"/>
        <v>404.32</v>
      </c>
      <c r="AF158">
        <f t="shared" si="180"/>
        <v>227.23</v>
      </c>
      <c r="AG158">
        <f t="shared" si="181"/>
        <v>0</v>
      </c>
      <c r="AH158">
        <f t="shared" si="182"/>
        <v>21.6</v>
      </c>
      <c r="AI158">
        <f t="shared" si="183"/>
        <v>0</v>
      </c>
      <c r="AJ158">
        <f t="shared" si="184"/>
        <v>0</v>
      </c>
      <c r="AK158">
        <v>5666.2</v>
      </c>
      <c r="AL158">
        <v>49.49</v>
      </c>
      <c r="AM158">
        <v>5389.48</v>
      </c>
      <c r="AN158">
        <v>404.32</v>
      </c>
      <c r="AO158">
        <v>227.23</v>
      </c>
      <c r="AP158">
        <v>0</v>
      </c>
      <c r="AQ158">
        <v>21.6</v>
      </c>
      <c r="AR158">
        <v>0</v>
      </c>
      <c r="AS158">
        <v>0</v>
      </c>
      <c r="AT158">
        <v>134</v>
      </c>
      <c r="AU158">
        <v>55</v>
      </c>
      <c r="AV158">
        <v>1.0469999999999999</v>
      </c>
      <c r="AW158">
        <v>1.002</v>
      </c>
      <c r="AZ158">
        <v>1</v>
      </c>
      <c r="BA158">
        <v>46.67</v>
      </c>
      <c r="BB158">
        <v>12.96</v>
      </c>
      <c r="BC158">
        <v>7.05</v>
      </c>
      <c r="BD158" t="s">
        <v>6</v>
      </c>
      <c r="BE158" t="s">
        <v>6</v>
      </c>
      <c r="BF158" t="s">
        <v>6</v>
      </c>
      <c r="BG158" t="s">
        <v>6</v>
      </c>
      <c r="BH158">
        <v>0</v>
      </c>
      <c r="BI158">
        <v>1</v>
      </c>
      <c r="BJ158" t="s">
        <v>182</v>
      </c>
      <c r="BM158">
        <v>146</v>
      </c>
      <c r="BN158">
        <v>0</v>
      </c>
      <c r="BO158" t="s">
        <v>180</v>
      </c>
      <c r="BP158">
        <v>1</v>
      </c>
      <c r="BQ158">
        <v>30</v>
      </c>
      <c r="BR158">
        <v>0</v>
      </c>
      <c r="BS158">
        <v>46.67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6</v>
      </c>
      <c r="BZ158">
        <v>134</v>
      </c>
      <c r="CA158">
        <v>55</v>
      </c>
      <c r="CB158" t="s">
        <v>6</v>
      </c>
      <c r="CE158">
        <v>30</v>
      </c>
      <c r="CF158">
        <v>0</v>
      </c>
      <c r="CG158">
        <v>0</v>
      </c>
      <c r="CM158">
        <v>0</v>
      </c>
      <c r="CN158" t="s">
        <v>6</v>
      </c>
      <c r="CO158">
        <v>0</v>
      </c>
      <c r="CP158">
        <f t="shared" si="185"/>
        <v>192139.72999999998</v>
      </c>
      <c r="CQ158">
        <f t="shared" si="186"/>
        <v>349.61</v>
      </c>
      <c r="CR158">
        <f t="shared" si="187"/>
        <v>73130.559999999998</v>
      </c>
      <c r="CS158">
        <f t="shared" si="188"/>
        <v>19756.34</v>
      </c>
      <c r="CT158">
        <f t="shared" si="189"/>
        <v>11103.26</v>
      </c>
      <c r="CU158">
        <f t="shared" si="190"/>
        <v>0</v>
      </c>
      <c r="CV158">
        <f t="shared" si="191"/>
        <v>22.615200000000002</v>
      </c>
      <c r="CW158">
        <f t="shared" si="192"/>
        <v>0</v>
      </c>
      <c r="CX158">
        <f t="shared" si="193"/>
        <v>0</v>
      </c>
      <c r="CY158">
        <f>S158*(BZ158/100)</f>
        <v>33797.922200000001</v>
      </c>
      <c r="CZ158">
        <f>S158*(CA158/100)</f>
        <v>13872.281500000003</v>
      </c>
      <c r="DC158" t="s">
        <v>6</v>
      </c>
      <c r="DD158" t="s">
        <v>6</v>
      </c>
      <c r="DE158" t="s">
        <v>6</v>
      </c>
      <c r="DF158" t="s">
        <v>6</v>
      </c>
      <c r="DG158" t="s">
        <v>6</v>
      </c>
      <c r="DH158" t="s">
        <v>6</v>
      </c>
      <c r="DI158" t="s">
        <v>6</v>
      </c>
      <c r="DJ158" t="s">
        <v>6</v>
      </c>
      <c r="DK158" t="s">
        <v>6</v>
      </c>
      <c r="DL158" t="s">
        <v>6</v>
      </c>
      <c r="DM158" t="s">
        <v>6</v>
      </c>
      <c r="DN158">
        <v>161</v>
      </c>
      <c r="DO158">
        <v>107</v>
      </c>
      <c r="DP158">
        <v>1.0469999999999999</v>
      </c>
      <c r="DQ158">
        <v>1.002</v>
      </c>
      <c r="DU158">
        <v>1013</v>
      </c>
      <c r="DV158" t="s">
        <v>165</v>
      </c>
      <c r="DW158" t="s">
        <v>165</v>
      </c>
      <c r="DX158">
        <v>1</v>
      </c>
      <c r="DZ158" t="s">
        <v>6</v>
      </c>
      <c r="EA158" t="s">
        <v>6</v>
      </c>
      <c r="EB158" t="s">
        <v>6</v>
      </c>
      <c r="EC158" t="s">
        <v>6</v>
      </c>
      <c r="EE158">
        <v>69252771</v>
      </c>
      <c r="EF158">
        <v>30</v>
      </c>
      <c r="EG158" t="s">
        <v>29</v>
      </c>
      <c r="EH158">
        <v>0</v>
      </c>
      <c r="EI158" t="s">
        <v>6</v>
      </c>
      <c r="EJ158">
        <v>1</v>
      </c>
      <c r="EK158">
        <v>146</v>
      </c>
      <c r="EL158" t="s">
        <v>167</v>
      </c>
      <c r="EM158" t="s">
        <v>168</v>
      </c>
      <c r="EO158" t="s">
        <v>6</v>
      </c>
      <c r="EQ158">
        <v>0</v>
      </c>
      <c r="ER158">
        <v>5666.2</v>
      </c>
      <c r="ES158">
        <v>49.49</v>
      </c>
      <c r="ET158">
        <v>5389.48</v>
      </c>
      <c r="EU158">
        <v>404.32</v>
      </c>
      <c r="EV158">
        <v>227.23</v>
      </c>
      <c r="EW158">
        <v>21.6</v>
      </c>
      <c r="EX158">
        <v>0</v>
      </c>
      <c r="EY158">
        <v>0</v>
      </c>
      <c r="FQ158">
        <v>0</v>
      </c>
      <c r="FR158">
        <f t="shared" si="194"/>
        <v>0</v>
      </c>
      <c r="FS158">
        <v>0</v>
      </c>
      <c r="FX158">
        <v>161</v>
      </c>
      <c r="FY158">
        <v>107</v>
      </c>
      <c r="GA158" t="s">
        <v>6</v>
      </c>
      <c r="GD158">
        <v>0</v>
      </c>
      <c r="GF158">
        <v>-2117176836</v>
      </c>
      <c r="GG158">
        <v>2</v>
      </c>
      <c r="GH158">
        <v>1</v>
      </c>
      <c r="GI158">
        <v>2</v>
      </c>
      <c r="GJ158">
        <v>0</v>
      </c>
      <c r="GK158">
        <f>ROUND(R158*(S12)/100,2)</f>
        <v>71806.100000000006</v>
      </c>
      <c r="GL158">
        <f t="shared" si="195"/>
        <v>0</v>
      </c>
      <c r="GM158">
        <f t="shared" si="196"/>
        <v>311616.03000000003</v>
      </c>
      <c r="GN158">
        <f t="shared" si="197"/>
        <v>311616.03000000003</v>
      </c>
      <c r="GO158">
        <f t="shared" si="198"/>
        <v>0</v>
      </c>
      <c r="GP158">
        <f t="shared" si="199"/>
        <v>0</v>
      </c>
      <c r="GR158">
        <v>0</v>
      </c>
      <c r="GS158">
        <v>0</v>
      </c>
      <c r="GT158">
        <v>0</v>
      </c>
      <c r="GU158" t="s">
        <v>6</v>
      </c>
      <c r="GV158">
        <f t="shared" si="200"/>
        <v>0</v>
      </c>
      <c r="GW158">
        <v>1</v>
      </c>
      <c r="GX158">
        <f t="shared" si="201"/>
        <v>0</v>
      </c>
      <c r="HA158">
        <v>0</v>
      </c>
      <c r="HB158">
        <v>0</v>
      </c>
      <c r="HC158">
        <f t="shared" si="202"/>
        <v>0</v>
      </c>
      <c r="HE158" t="s">
        <v>6</v>
      </c>
      <c r="HF158" t="s">
        <v>6</v>
      </c>
      <c r="HM158" t="s">
        <v>6</v>
      </c>
      <c r="HN158" t="s">
        <v>6</v>
      </c>
      <c r="HO158" t="s">
        <v>6</v>
      </c>
      <c r="HP158" t="s">
        <v>6</v>
      </c>
      <c r="HQ158" t="s">
        <v>6</v>
      </c>
      <c r="IK158">
        <v>0</v>
      </c>
    </row>
    <row r="159" spans="1:255">
      <c r="A159" s="2">
        <v>18</v>
      </c>
      <c r="B159" s="2">
        <v>1</v>
      </c>
      <c r="C159" s="2"/>
      <c r="D159" s="2"/>
      <c r="E159" s="2" t="s">
        <v>183</v>
      </c>
      <c r="F159" s="2" t="s">
        <v>184</v>
      </c>
      <c r="G159" s="2" t="s">
        <v>185</v>
      </c>
      <c r="H159" s="2" t="s">
        <v>35</v>
      </c>
      <c r="I159" s="2">
        <f>I157*J159</f>
        <v>286.22160000000002</v>
      </c>
      <c r="J159" s="2">
        <v>126.00000000000001</v>
      </c>
      <c r="K159" s="2">
        <v>126</v>
      </c>
      <c r="L159" s="2"/>
      <c r="M159" s="2"/>
      <c r="N159" s="2"/>
      <c r="O159" s="2">
        <f t="shared" si="165"/>
        <v>46064.86</v>
      </c>
      <c r="P159" s="2">
        <f t="shared" si="166"/>
        <v>46064.86</v>
      </c>
      <c r="Q159" s="2">
        <f t="shared" si="167"/>
        <v>0</v>
      </c>
      <c r="R159" s="2">
        <f t="shared" si="168"/>
        <v>0</v>
      </c>
      <c r="S159" s="2">
        <f t="shared" si="169"/>
        <v>0</v>
      </c>
      <c r="T159" s="2">
        <f t="shared" si="170"/>
        <v>0</v>
      </c>
      <c r="U159" s="2">
        <f t="shared" si="171"/>
        <v>0</v>
      </c>
      <c r="V159" s="2">
        <f t="shared" si="172"/>
        <v>0</v>
      </c>
      <c r="W159" s="2">
        <f t="shared" si="173"/>
        <v>0</v>
      </c>
      <c r="X159" s="2">
        <f t="shared" si="174"/>
        <v>0</v>
      </c>
      <c r="Y159" s="2">
        <f t="shared" si="175"/>
        <v>0</v>
      </c>
      <c r="Z159" s="2"/>
      <c r="AA159" s="2">
        <v>70322058</v>
      </c>
      <c r="AB159" s="2">
        <f t="shared" si="176"/>
        <v>160.62</v>
      </c>
      <c r="AC159" s="2">
        <f t="shared" si="177"/>
        <v>160.62</v>
      </c>
      <c r="AD159" s="2">
        <f t="shared" si="178"/>
        <v>0</v>
      </c>
      <c r="AE159" s="2">
        <f t="shared" si="179"/>
        <v>0</v>
      </c>
      <c r="AF159" s="2">
        <f t="shared" si="180"/>
        <v>0</v>
      </c>
      <c r="AG159" s="2">
        <f t="shared" si="181"/>
        <v>0</v>
      </c>
      <c r="AH159" s="2">
        <f t="shared" si="182"/>
        <v>0</v>
      </c>
      <c r="AI159" s="2">
        <f t="shared" si="183"/>
        <v>0</v>
      </c>
      <c r="AJ159" s="2">
        <f t="shared" si="184"/>
        <v>0</v>
      </c>
      <c r="AK159" s="2">
        <v>160.62</v>
      </c>
      <c r="AL159" s="2">
        <v>160.62</v>
      </c>
      <c r="AM159" s="2">
        <v>0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161</v>
      </c>
      <c r="AU159" s="2">
        <v>107</v>
      </c>
      <c r="AV159" s="2">
        <v>1.0469999999999999</v>
      </c>
      <c r="AW159" s="2">
        <v>1.002</v>
      </c>
      <c r="AX159" s="2"/>
      <c r="AY159" s="2"/>
      <c r="AZ159" s="2">
        <v>1</v>
      </c>
      <c r="BA159" s="2">
        <v>1</v>
      </c>
      <c r="BB159" s="2">
        <v>1</v>
      </c>
      <c r="BC159" s="2">
        <v>1</v>
      </c>
      <c r="BD159" s="2" t="s">
        <v>6</v>
      </c>
      <c r="BE159" s="2" t="s">
        <v>6</v>
      </c>
      <c r="BF159" s="2" t="s">
        <v>6</v>
      </c>
      <c r="BG159" s="2" t="s">
        <v>6</v>
      </c>
      <c r="BH159" s="2">
        <v>3</v>
      </c>
      <c r="BI159" s="2">
        <v>1</v>
      </c>
      <c r="BJ159" s="2" t="s">
        <v>186</v>
      </c>
      <c r="BK159" s="2"/>
      <c r="BL159" s="2"/>
      <c r="BM159" s="2">
        <v>146</v>
      </c>
      <c r="BN159" s="2">
        <v>0</v>
      </c>
      <c r="BO159" s="2" t="s">
        <v>6</v>
      </c>
      <c r="BP159" s="2">
        <v>0</v>
      </c>
      <c r="BQ159" s="2">
        <v>30</v>
      </c>
      <c r="BR159" s="2">
        <v>0</v>
      </c>
      <c r="BS159" s="2">
        <v>1</v>
      </c>
      <c r="BT159" s="2">
        <v>1</v>
      </c>
      <c r="BU159" s="2">
        <v>1</v>
      </c>
      <c r="BV159" s="2">
        <v>1</v>
      </c>
      <c r="BW159" s="2">
        <v>1</v>
      </c>
      <c r="BX159" s="2">
        <v>1</v>
      </c>
      <c r="BY159" s="2" t="s">
        <v>6</v>
      </c>
      <c r="BZ159" s="2">
        <v>161</v>
      </c>
      <c r="CA159" s="2">
        <v>107</v>
      </c>
      <c r="CB159" s="2" t="s">
        <v>6</v>
      </c>
      <c r="CC159" s="2"/>
      <c r="CD159" s="2"/>
      <c r="CE159" s="2">
        <v>30</v>
      </c>
      <c r="CF159" s="2">
        <v>0</v>
      </c>
      <c r="CG159" s="2">
        <v>0</v>
      </c>
      <c r="CH159" s="2"/>
      <c r="CI159" s="2"/>
      <c r="CJ159" s="2"/>
      <c r="CK159" s="2"/>
      <c r="CL159" s="2"/>
      <c r="CM159" s="2">
        <v>0</v>
      </c>
      <c r="CN159" s="2" t="s">
        <v>6</v>
      </c>
      <c r="CO159" s="2">
        <v>0</v>
      </c>
      <c r="CP159" s="2">
        <f t="shared" si="185"/>
        <v>46064.86</v>
      </c>
      <c r="CQ159" s="2">
        <f t="shared" si="186"/>
        <v>160.94</v>
      </c>
      <c r="CR159" s="2">
        <f t="shared" si="187"/>
        <v>0</v>
      </c>
      <c r="CS159" s="2">
        <f t="shared" si="188"/>
        <v>0</v>
      </c>
      <c r="CT159" s="2">
        <f t="shared" si="189"/>
        <v>0</v>
      </c>
      <c r="CU159" s="2">
        <f t="shared" si="190"/>
        <v>0</v>
      </c>
      <c r="CV159" s="2">
        <f t="shared" si="191"/>
        <v>0</v>
      </c>
      <c r="CW159" s="2">
        <f t="shared" si="192"/>
        <v>0</v>
      </c>
      <c r="CX159" s="2">
        <f t="shared" si="193"/>
        <v>0</v>
      </c>
      <c r="CY159" s="2">
        <f>((S159*BZ159)/100)</f>
        <v>0</v>
      </c>
      <c r="CZ159" s="2">
        <f>((S159*CA159)/100)</f>
        <v>0</v>
      </c>
      <c r="DA159" s="2"/>
      <c r="DB159" s="2"/>
      <c r="DC159" s="2" t="s">
        <v>6</v>
      </c>
      <c r="DD159" s="2" t="s">
        <v>6</v>
      </c>
      <c r="DE159" s="2" t="s">
        <v>6</v>
      </c>
      <c r="DF159" s="2" t="s">
        <v>6</v>
      </c>
      <c r="DG159" s="2" t="s">
        <v>6</v>
      </c>
      <c r="DH159" s="2" t="s">
        <v>6</v>
      </c>
      <c r="DI159" s="2" t="s">
        <v>6</v>
      </c>
      <c r="DJ159" s="2" t="s">
        <v>6</v>
      </c>
      <c r="DK159" s="2" t="s">
        <v>6</v>
      </c>
      <c r="DL159" s="2" t="s">
        <v>6</v>
      </c>
      <c r="DM159" s="2" t="s">
        <v>6</v>
      </c>
      <c r="DN159" s="2">
        <v>0</v>
      </c>
      <c r="DO159" s="2">
        <v>0</v>
      </c>
      <c r="DP159" s="2">
        <v>1</v>
      </c>
      <c r="DQ159" s="2">
        <v>1</v>
      </c>
      <c r="DR159" s="2"/>
      <c r="DS159" s="2"/>
      <c r="DT159" s="2"/>
      <c r="DU159" s="2">
        <v>1007</v>
      </c>
      <c r="DV159" s="2" t="s">
        <v>35</v>
      </c>
      <c r="DW159" s="2" t="s">
        <v>35</v>
      </c>
      <c r="DX159" s="2">
        <v>1</v>
      </c>
      <c r="DY159" s="2"/>
      <c r="DZ159" s="2" t="s">
        <v>6</v>
      </c>
      <c r="EA159" s="2" t="s">
        <v>6</v>
      </c>
      <c r="EB159" s="2" t="s">
        <v>6</v>
      </c>
      <c r="EC159" s="2" t="s">
        <v>6</v>
      </c>
      <c r="ED159" s="2"/>
      <c r="EE159" s="2">
        <v>69252771</v>
      </c>
      <c r="EF159" s="2">
        <v>30</v>
      </c>
      <c r="EG159" s="2" t="s">
        <v>29</v>
      </c>
      <c r="EH159" s="2">
        <v>0</v>
      </c>
      <c r="EI159" s="2" t="s">
        <v>6</v>
      </c>
      <c r="EJ159" s="2">
        <v>1</v>
      </c>
      <c r="EK159" s="2">
        <v>146</v>
      </c>
      <c r="EL159" s="2" t="s">
        <v>167</v>
      </c>
      <c r="EM159" s="2" t="s">
        <v>168</v>
      </c>
      <c r="EN159" s="2"/>
      <c r="EO159" s="2" t="s">
        <v>6</v>
      </c>
      <c r="EP159" s="2"/>
      <c r="EQ159" s="2">
        <v>0</v>
      </c>
      <c r="ER159" s="2">
        <v>160.62</v>
      </c>
      <c r="ES159" s="2">
        <v>160.62</v>
      </c>
      <c r="ET159" s="2">
        <v>0</v>
      </c>
      <c r="EU159" s="2">
        <v>0</v>
      </c>
      <c r="EV159" s="2">
        <v>0</v>
      </c>
      <c r="EW159" s="2">
        <v>0</v>
      </c>
      <c r="EX159" s="2">
        <v>0</v>
      </c>
      <c r="EY159" s="2"/>
      <c r="EZ159" s="2"/>
      <c r="FA159" s="2"/>
      <c r="FB159" s="2"/>
      <c r="FC159" s="2"/>
      <c r="FD159" s="2"/>
      <c r="FE159" s="2"/>
      <c r="FF159" s="2"/>
      <c r="FG159" s="2"/>
      <c r="FH159" s="2"/>
      <c r="FI159" s="2"/>
      <c r="FJ159" s="2"/>
      <c r="FK159" s="2"/>
      <c r="FL159" s="2"/>
      <c r="FM159" s="2"/>
      <c r="FN159" s="2"/>
      <c r="FO159" s="2"/>
      <c r="FP159" s="2"/>
      <c r="FQ159" s="2">
        <v>0</v>
      </c>
      <c r="FR159" s="2">
        <f t="shared" si="194"/>
        <v>0</v>
      </c>
      <c r="FS159" s="2">
        <v>0</v>
      </c>
      <c r="FT159" s="2"/>
      <c r="FU159" s="2"/>
      <c r="FV159" s="2"/>
      <c r="FW159" s="2"/>
      <c r="FX159" s="2">
        <v>161</v>
      </c>
      <c r="FY159" s="2">
        <v>107</v>
      </c>
      <c r="FZ159" s="2"/>
      <c r="GA159" s="2" t="s">
        <v>6</v>
      </c>
      <c r="GB159" s="2"/>
      <c r="GC159" s="2"/>
      <c r="GD159" s="2">
        <v>0</v>
      </c>
      <c r="GE159" s="2"/>
      <c r="GF159" s="2">
        <v>858742181</v>
      </c>
      <c r="GG159" s="2">
        <v>2</v>
      </c>
      <c r="GH159" s="2">
        <v>1</v>
      </c>
      <c r="GI159" s="2">
        <v>-2</v>
      </c>
      <c r="GJ159" s="2">
        <v>0</v>
      </c>
      <c r="GK159" s="2">
        <f>ROUND(R159*(R12)/100,2)</f>
        <v>0</v>
      </c>
      <c r="GL159" s="2">
        <f t="shared" si="195"/>
        <v>0</v>
      </c>
      <c r="GM159" s="2">
        <f t="shared" si="196"/>
        <v>46064.86</v>
      </c>
      <c r="GN159" s="2">
        <f t="shared" si="197"/>
        <v>46064.86</v>
      </c>
      <c r="GO159" s="2">
        <f t="shared" si="198"/>
        <v>0</v>
      </c>
      <c r="GP159" s="2">
        <f t="shared" si="199"/>
        <v>0</v>
      </c>
      <c r="GQ159" s="2"/>
      <c r="GR159" s="2">
        <v>0</v>
      </c>
      <c r="GS159" s="2">
        <v>3</v>
      </c>
      <c r="GT159" s="2">
        <v>0</v>
      </c>
      <c r="GU159" s="2" t="s">
        <v>6</v>
      </c>
      <c r="GV159" s="2">
        <f t="shared" si="200"/>
        <v>0</v>
      </c>
      <c r="GW159" s="2">
        <v>1</v>
      </c>
      <c r="GX159" s="2">
        <f t="shared" si="201"/>
        <v>0</v>
      </c>
      <c r="GY159" s="2"/>
      <c r="GZ159" s="2"/>
      <c r="HA159" s="2">
        <v>0</v>
      </c>
      <c r="HB159" s="2">
        <v>0</v>
      </c>
      <c r="HC159" s="2">
        <f t="shared" si="202"/>
        <v>0</v>
      </c>
      <c r="HD159" s="2"/>
      <c r="HE159" s="2" t="s">
        <v>6</v>
      </c>
      <c r="HF159" s="2" t="s">
        <v>6</v>
      </c>
      <c r="HG159" s="2"/>
      <c r="HH159" s="2"/>
      <c r="HI159" s="2"/>
      <c r="HJ159" s="2"/>
      <c r="HK159" s="2"/>
      <c r="HL159" s="2"/>
      <c r="HM159" s="2" t="s">
        <v>6</v>
      </c>
      <c r="HN159" s="2" t="s">
        <v>6</v>
      </c>
      <c r="HO159" s="2" t="s">
        <v>6</v>
      </c>
      <c r="HP159" s="2" t="s">
        <v>6</v>
      </c>
      <c r="HQ159" s="2" t="s">
        <v>6</v>
      </c>
      <c r="HR159" s="2"/>
      <c r="HS159" s="2"/>
      <c r="HT159" s="2"/>
      <c r="HU159" s="2"/>
      <c r="HV159" s="2"/>
      <c r="HW159" s="2"/>
      <c r="HX159" s="2"/>
      <c r="HY159" s="2"/>
      <c r="HZ159" s="2"/>
      <c r="IA159" s="2"/>
      <c r="IB159" s="2"/>
      <c r="IC159" s="2"/>
      <c r="ID159" s="2"/>
      <c r="IE159" s="2"/>
      <c r="IF159" s="2"/>
      <c r="IG159" s="2"/>
      <c r="IH159" s="2"/>
      <c r="II159" s="2"/>
      <c r="IJ159" s="2"/>
      <c r="IK159" s="2">
        <v>0</v>
      </c>
      <c r="IL159" s="2"/>
      <c r="IM159" s="2"/>
      <c r="IN159" s="2"/>
      <c r="IO159" s="2"/>
      <c r="IP159" s="2"/>
      <c r="IQ159" s="2"/>
      <c r="IR159" s="2"/>
      <c r="IS159" s="2"/>
      <c r="IT159" s="2"/>
      <c r="IU159" s="2"/>
    </row>
    <row r="160" spans="1:255">
      <c r="A160">
        <v>18</v>
      </c>
      <c r="B160">
        <v>1</v>
      </c>
      <c r="E160" t="s">
        <v>183</v>
      </c>
      <c r="F160" t="s">
        <v>184</v>
      </c>
      <c r="G160" t="s">
        <v>185</v>
      </c>
      <c r="H160" t="s">
        <v>35</v>
      </c>
      <c r="I160">
        <f>I158*J160</f>
        <v>286.22160000000002</v>
      </c>
      <c r="J160">
        <v>126.00000000000001</v>
      </c>
      <c r="K160">
        <v>126</v>
      </c>
      <c r="O160">
        <f t="shared" si="165"/>
        <v>911162.93</v>
      </c>
      <c r="P160">
        <f t="shared" si="166"/>
        <v>911162.93</v>
      </c>
      <c r="Q160">
        <f t="shared" si="167"/>
        <v>0</v>
      </c>
      <c r="R160">
        <f t="shared" si="168"/>
        <v>0</v>
      </c>
      <c r="S160">
        <f t="shared" si="169"/>
        <v>0</v>
      </c>
      <c r="T160">
        <f t="shared" si="170"/>
        <v>0</v>
      </c>
      <c r="U160">
        <f t="shared" si="171"/>
        <v>0</v>
      </c>
      <c r="V160">
        <f t="shared" si="172"/>
        <v>0</v>
      </c>
      <c r="W160">
        <f t="shared" si="173"/>
        <v>0</v>
      </c>
      <c r="X160">
        <f t="shared" si="174"/>
        <v>0</v>
      </c>
      <c r="Y160">
        <f t="shared" si="175"/>
        <v>0</v>
      </c>
      <c r="AA160">
        <v>70322059</v>
      </c>
      <c r="AB160">
        <f t="shared" si="176"/>
        <v>160.62</v>
      </c>
      <c r="AC160">
        <f t="shared" si="177"/>
        <v>160.62</v>
      </c>
      <c r="AD160">
        <f t="shared" si="178"/>
        <v>0</v>
      </c>
      <c r="AE160">
        <f t="shared" si="179"/>
        <v>0</v>
      </c>
      <c r="AF160">
        <f t="shared" si="180"/>
        <v>0</v>
      </c>
      <c r="AG160">
        <f t="shared" si="181"/>
        <v>0</v>
      </c>
      <c r="AH160">
        <f t="shared" si="182"/>
        <v>0</v>
      </c>
      <c r="AI160">
        <f t="shared" si="183"/>
        <v>0</v>
      </c>
      <c r="AJ160">
        <f t="shared" si="184"/>
        <v>0</v>
      </c>
      <c r="AK160">
        <v>160.62</v>
      </c>
      <c r="AL160">
        <v>160.62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1.0469999999999999</v>
      </c>
      <c r="AW160">
        <v>1.002</v>
      </c>
      <c r="AZ160">
        <v>1</v>
      </c>
      <c r="BA160">
        <v>1</v>
      </c>
      <c r="BB160">
        <v>1</v>
      </c>
      <c r="BC160">
        <v>19.78</v>
      </c>
      <c r="BD160" t="s">
        <v>6</v>
      </c>
      <c r="BE160" t="s">
        <v>6</v>
      </c>
      <c r="BF160" t="s">
        <v>6</v>
      </c>
      <c r="BG160" t="s">
        <v>6</v>
      </c>
      <c r="BH160">
        <v>3</v>
      </c>
      <c r="BI160">
        <v>1</v>
      </c>
      <c r="BJ160" t="s">
        <v>186</v>
      </c>
      <c r="BM160">
        <v>146</v>
      </c>
      <c r="BN160">
        <v>0</v>
      </c>
      <c r="BO160" t="s">
        <v>184</v>
      </c>
      <c r="BP160">
        <v>1</v>
      </c>
      <c r="BQ160">
        <v>30</v>
      </c>
      <c r="BR160">
        <v>0</v>
      </c>
      <c r="BS160">
        <v>1</v>
      </c>
      <c r="BT160">
        <v>1</v>
      </c>
      <c r="BU160">
        <v>1</v>
      </c>
      <c r="BV160">
        <v>1</v>
      </c>
      <c r="BW160">
        <v>1</v>
      </c>
      <c r="BX160">
        <v>1</v>
      </c>
      <c r="BY160" t="s">
        <v>6</v>
      </c>
      <c r="BZ160">
        <v>0</v>
      </c>
      <c r="CA160">
        <v>0</v>
      </c>
      <c r="CB160" t="s">
        <v>6</v>
      </c>
      <c r="CE160">
        <v>30</v>
      </c>
      <c r="CF160">
        <v>0</v>
      </c>
      <c r="CG160">
        <v>0</v>
      </c>
      <c r="CM160">
        <v>0</v>
      </c>
      <c r="CN160" t="s">
        <v>6</v>
      </c>
      <c r="CO160">
        <v>0</v>
      </c>
      <c r="CP160">
        <f t="shared" si="185"/>
        <v>911162.93</v>
      </c>
      <c r="CQ160">
        <f t="shared" si="186"/>
        <v>3183.39</v>
      </c>
      <c r="CR160">
        <f t="shared" si="187"/>
        <v>0</v>
      </c>
      <c r="CS160">
        <f t="shared" si="188"/>
        <v>0</v>
      </c>
      <c r="CT160">
        <f t="shared" si="189"/>
        <v>0</v>
      </c>
      <c r="CU160">
        <f t="shared" si="190"/>
        <v>0</v>
      </c>
      <c r="CV160">
        <f t="shared" si="191"/>
        <v>0</v>
      </c>
      <c r="CW160">
        <f t="shared" si="192"/>
        <v>0</v>
      </c>
      <c r="CX160">
        <f t="shared" si="193"/>
        <v>0</v>
      </c>
      <c r="CY160">
        <f>S160*(BZ160/100)</f>
        <v>0</v>
      </c>
      <c r="CZ160">
        <f>S160*(CA160/100)</f>
        <v>0</v>
      </c>
      <c r="DC160" t="s">
        <v>6</v>
      </c>
      <c r="DD160" t="s">
        <v>6</v>
      </c>
      <c r="DE160" t="s">
        <v>6</v>
      </c>
      <c r="DF160" t="s">
        <v>6</v>
      </c>
      <c r="DG160" t="s">
        <v>6</v>
      </c>
      <c r="DH160" t="s">
        <v>6</v>
      </c>
      <c r="DI160" t="s">
        <v>6</v>
      </c>
      <c r="DJ160" t="s">
        <v>6</v>
      </c>
      <c r="DK160" t="s">
        <v>6</v>
      </c>
      <c r="DL160" t="s">
        <v>6</v>
      </c>
      <c r="DM160" t="s">
        <v>6</v>
      </c>
      <c r="DN160">
        <v>161</v>
      </c>
      <c r="DO160">
        <v>107</v>
      </c>
      <c r="DP160">
        <v>1.0469999999999999</v>
      </c>
      <c r="DQ160">
        <v>1.002</v>
      </c>
      <c r="DU160">
        <v>1007</v>
      </c>
      <c r="DV160" t="s">
        <v>35</v>
      </c>
      <c r="DW160" t="s">
        <v>35</v>
      </c>
      <c r="DX160">
        <v>1</v>
      </c>
      <c r="DZ160" t="s">
        <v>6</v>
      </c>
      <c r="EA160" t="s">
        <v>6</v>
      </c>
      <c r="EB160" t="s">
        <v>6</v>
      </c>
      <c r="EC160" t="s">
        <v>6</v>
      </c>
      <c r="EE160">
        <v>69252771</v>
      </c>
      <c r="EF160">
        <v>30</v>
      </c>
      <c r="EG160" t="s">
        <v>29</v>
      </c>
      <c r="EH160">
        <v>0</v>
      </c>
      <c r="EI160" t="s">
        <v>6</v>
      </c>
      <c r="EJ160">
        <v>1</v>
      </c>
      <c r="EK160">
        <v>146</v>
      </c>
      <c r="EL160" t="s">
        <v>167</v>
      </c>
      <c r="EM160" t="s">
        <v>168</v>
      </c>
      <c r="EO160" t="s">
        <v>6</v>
      </c>
      <c r="EQ160">
        <v>0</v>
      </c>
      <c r="ER160">
        <v>160.62</v>
      </c>
      <c r="ES160">
        <v>160.62</v>
      </c>
      <c r="ET160">
        <v>0</v>
      </c>
      <c r="EU160">
        <v>0</v>
      </c>
      <c r="EV160">
        <v>0</v>
      </c>
      <c r="EW160">
        <v>0</v>
      </c>
      <c r="EX160">
        <v>0</v>
      </c>
      <c r="FQ160">
        <v>0</v>
      </c>
      <c r="FR160">
        <f t="shared" si="194"/>
        <v>0</v>
      </c>
      <c r="FS160">
        <v>0</v>
      </c>
      <c r="FX160">
        <v>161</v>
      </c>
      <c r="FY160">
        <v>107</v>
      </c>
      <c r="GA160" t="s">
        <v>6</v>
      </c>
      <c r="GD160">
        <v>0</v>
      </c>
      <c r="GF160">
        <v>858742181</v>
      </c>
      <c r="GG160">
        <v>2</v>
      </c>
      <c r="GH160">
        <v>1</v>
      </c>
      <c r="GI160">
        <v>2</v>
      </c>
      <c r="GJ160">
        <v>0</v>
      </c>
      <c r="GK160">
        <f>ROUND(R160*(S12)/100,2)</f>
        <v>0</v>
      </c>
      <c r="GL160">
        <f t="shared" si="195"/>
        <v>0</v>
      </c>
      <c r="GM160">
        <f t="shared" si="196"/>
        <v>911162.93</v>
      </c>
      <c r="GN160">
        <f t="shared" si="197"/>
        <v>911162.93</v>
      </c>
      <c r="GO160">
        <f t="shared" si="198"/>
        <v>0</v>
      </c>
      <c r="GP160">
        <f t="shared" si="199"/>
        <v>0</v>
      </c>
      <c r="GR160">
        <v>0</v>
      </c>
      <c r="GS160">
        <v>0</v>
      </c>
      <c r="GT160">
        <v>0</v>
      </c>
      <c r="GU160" t="s">
        <v>6</v>
      </c>
      <c r="GV160">
        <f t="shared" si="200"/>
        <v>0</v>
      </c>
      <c r="GW160">
        <v>1</v>
      </c>
      <c r="GX160">
        <f t="shared" si="201"/>
        <v>0</v>
      </c>
      <c r="HA160">
        <v>0</v>
      </c>
      <c r="HB160">
        <v>0</v>
      </c>
      <c r="HC160">
        <f t="shared" si="202"/>
        <v>0</v>
      </c>
      <c r="HE160" t="s">
        <v>6</v>
      </c>
      <c r="HF160" t="s">
        <v>6</v>
      </c>
      <c r="HM160" t="s">
        <v>6</v>
      </c>
      <c r="HN160" t="s">
        <v>6</v>
      </c>
      <c r="HO160" t="s">
        <v>6</v>
      </c>
      <c r="HP160" t="s">
        <v>6</v>
      </c>
      <c r="HQ160" t="s">
        <v>6</v>
      </c>
      <c r="IK160">
        <v>0</v>
      </c>
    </row>
    <row r="161" spans="1:255">
      <c r="A161" s="2">
        <v>17</v>
      </c>
      <c r="B161" s="2">
        <v>1</v>
      </c>
      <c r="C161" s="2"/>
      <c r="D161" s="2"/>
      <c r="E161" s="2" t="s">
        <v>187</v>
      </c>
      <c r="F161" s="2" t="s">
        <v>147</v>
      </c>
      <c r="G161" s="2" t="s">
        <v>148</v>
      </c>
      <c r="H161" s="2" t="s">
        <v>149</v>
      </c>
      <c r="I161" s="2">
        <f>ROUND((1514.4)/1000,9)</f>
        <v>1.5144</v>
      </c>
      <c r="J161" s="2">
        <v>0</v>
      </c>
      <c r="K161" s="2">
        <f>ROUND((1514.4)/1000,9)</f>
        <v>1.5144</v>
      </c>
      <c r="L161" s="2"/>
      <c r="M161" s="2"/>
      <c r="N161" s="2"/>
      <c r="O161" s="2">
        <f t="shared" si="165"/>
        <v>1508.74</v>
      </c>
      <c r="P161" s="2">
        <f t="shared" si="166"/>
        <v>1.35</v>
      </c>
      <c r="Q161" s="2">
        <f t="shared" si="167"/>
        <v>1055.01</v>
      </c>
      <c r="R161" s="2">
        <f t="shared" si="168"/>
        <v>95.02</v>
      </c>
      <c r="S161" s="2">
        <f t="shared" si="169"/>
        <v>452.38</v>
      </c>
      <c r="T161" s="2">
        <f t="shared" si="170"/>
        <v>0</v>
      </c>
      <c r="U161" s="2">
        <f t="shared" si="171"/>
        <v>43.920477359999992</v>
      </c>
      <c r="V161" s="2">
        <f t="shared" si="172"/>
        <v>0</v>
      </c>
      <c r="W161" s="2">
        <f t="shared" si="173"/>
        <v>0</v>
      </c>
      <c r="X161" s="2">
        <f t="shared" si="174"/>
        <v>728.33</v>
      </c>
      <c r="Y161" s="2">
        <f t="shared" si="175"/>
        <v>484.05</v>
      </c>
      <c r="Z161" s="2"/>
      <c r="AA161" s="2">
        <v>70322058</v>
      </c>
      <c r="AB161" s="2">
        <f t="shared" si="176"/>
        <v>951.58</v>
      </c>
      <c r="AC161" s="2">
        <f t="shared" si="177"/>
        <v>0.89</v>
      </c>
      <c r="AD161" s="2">
        <f t="shared" si="178"/>
        <v>665.38</v>
      </c>
      <c r="AE161" s="2">
        <f t="shared" si="179"/>
        <v>59.93</v>
      </c>
      <c r="AF161" s="2">
        <f t="shared" si="180"/>
        <v>285.31</v>
      </c>
      <c r="AG161" s="2">
        <f t="shared" si="181"/>
        <v>0</v>
      </c>
      <c r="AH161" s="2">
        <f t="shared" si="182"/>
        <v>27.7</v>
      </c>
      <c r="AI161" s="2">
        <f t="shared" si="183"/>
        <v>0</v>
      </c>
      <c r="AJ161" s="2">
        <f t="shared" si="184"/>
        <v>0</v>
      </c>
      <c r="AK161" s="2">
        <v>951.58</v>
      </c>
      <c r="AL161" s="2">
        <v>0.89</v>
      </c>
      <c r="AM161" s="2">
        <v>665.38</v>
      </c>
      <c r="AN161" s="2">
        <v>59.93</v>
      </c>
      <c r="AO161" s="2">
        <v>285.31</v>
      </c>
      <c r="AP161" s="2">
        <v>0</v>
      </c>
      <c r="AQ161" s="2">
        <v>27.7</v>
      </c>
      <c r="AR161" s="2">
        <v>0</v>
      </c>
      <c r="AS161" s="2">
        <v>0</v>
      </c>
      <c r="AT161" s="2">
        <v>161</v>
      </c>
      <c r="AU161" s="2">
        <v>107</v>
      </c>
      <c r="AV161" s="2">
        <v>1.0469999999999999</v>
      </c>
      <c r="AW161" s="2">
        <v>1.002</v>
      </c>
      <c r="AX161" s="2"/>
      <c r="AY161" s="2"/>
      <c r="AZ161" s="2">
        <v>1</v>
      </c>
      <c r="BA161" s="2">
        <v>1</v>
      </c>
      <c r="BB161" s="2">
        <v>1</v>
      </c>
      <c r="BC161" s="2">
        <v>1</v>
      </c>
      <c r="BD161" s="2" t="s">
        <v>6</v>
      </c>
      <c r="BE161" s="2" t="s">
        <v>6</v>
      </c>
      <c r="BF161" s="2" t="s">
        <v>6</v>
      </c>
      <c r="BG161" s="2" t="s">
        <v>6</v>
      </c>
      <c r="BH161" s="2">
        <v>0</v>
      </c>
      <c r="BI161" s="2">
        <v>1</v>
      </c>
      <c r="BJ161" s="2" t="s">
        <v>150</v>
      </c>
      <c r="BK161" s="2"/>
      <c r="BL161" s="2"/>
      <c r="BM161" s="2">
        <v>166</v>
      </c>
      <c r="BN161" s="2">
        <v>0</v>
      </c>
      <c r="BO161" s="2" t="s">
        <v>6</v>
      </c>
      <c r="BP161" s="2">
        <v>0</v>
      </c>
      <c r="BQ161" s="2">
        <v>30</v>
      </c>
      <c r="BR161" s="2">
        <v>0</v>
      </c>
      <c r="BS161" s="2">
        <v>1</v>
      </c>
      <c r="BT161" s="2">
        <v>1</v>
      </c>
      <c r="BU161" s="2">
        <v>1</v>
      </c>
      <c r="BV161" s="2">
        <v>1</v>
      </c>
      <c r="BW161" s="2">
        <v>1</v>
      </c>
      <c r="BX161" s="2">
        <v>1</v>
      </c>
      <c r="BY161" s="2" t="s">
        <v>6</v>
      </c>
      <c r="BZ161" s="2">
        <v>161</v>
      </c>
      <c r="CA161" s="2">
        <v>107</v>
      </c>
      <c r="CB161" s="2" t="s">
        <v>6</v>
      </c>
      <c r="CC161" s="2"/>
      <c r="CD161" s="2"/>
      <c r="CE161" s="2">
        <v>30</v>
      </c>
      <c r="CF161" s="2">
        <v>0</v>
      </c>
      <c r="CG161" s="2">
        <v>0</v>
      </c>
      <c r="CH161" s="2"/>
      <c r="CI161" s="2"/>
      <c r="CJ161" s="2"/>
      <c r="CK161" s="2"/>
      <c r="CL161" s="2"/>
      <c r="CM161" s="2">
        <v>0</v>
      </c>
      <c r="CN161" s="2" t="s">
        <v>6</v>
      </c>
      <c r="CO161" s="2">
        <v>0</v>
      </c>
      <c r="CP161" s="2">
        <f t="shared" si="185"/>
        <v>1508.7399999999998</v>
      </c>
      <c r="CQ161" s="2">
        <f t="shared" si="186"/>
        <v>0.89</v>
      </c>
      <c r="CR161" s="2">
        <f t="shared" si="187"/>
        <v>696.65</v>
      </c>
      <c r="CS161" s="2">
        <f t="shared" si="188"/>
        <v>62.75</v>
      </c>
      <c r="CT161" s="2">
        <f t="shared" si="189"/>
        <v>298.72000000000003</v>
      </c>
      <c r="CU161" s="2">
        <f t="shared" si="190"/>
        <v>0</v>
      </c>
      <c r="CV161" s="2">
        <f t="shared" si="191"/>
        <v>29.001899999999996</v>
      </c>
      <c r="CW161" s="2">
        <f t="shared" si="192"/>
        <v>0</v>
      </c>
      <c r="CX161" s="2">
        <f t="shared" si="193"/>
        <v>0</v>
      </c>
      <c r="CY161" s="2">
        <f>((S161*BZ161)/100)</f>
        <v>728.33179999999993</v>
      </c>
      <c r="CZ161" s="2">
        <f>((S161*CA161)/100)</f>
        <v>484.04659999999996</v>
      </c>
      <c r="DA161" s="2"/>
      <c r="DB161" s="2"/>
      <c r="DC161" s="2" t="s">
        <v>6</v>
      </c>
      <c r="DD161" s="2" t="s">
        <v>6</v>
      </c>
      <c r="DE161" s="2" t="s">
        <v>6</v>
      </c>
      <c r="DF161" s="2" t="s">
        <v>6</v>
      </c>
      <c r="DG161" s="2" t="s">
        <v>6</v>
      </c>
      <c r="DH161" s="2" t="s">
        <v>6</v>
      </c>
      <c r="DI161" s="2" t="s">
        <v>6</v>
      </c>
      <c r="DJ161" s="2" t="s">
        <v>6</v>
      </c>
      <c r="DK161" s="2" t="s">
        <v>6</v>
      </c>
      <c r="DL161" s="2" t="s">
        <v>6</v>
      </c>
      <c r="DM161" s="2" t="s">
        <v>6</v>
      </c>
      <c r="DN161" s="2">
        <v>0</v>
      </c>
      <c r="DO161" s="2">
        <v>0</v>
      </c>
      <c r="DP161" s="2">
        <v>1</v>
      </c>
      <c r="DQ161" s="2">
        <v>1</v>
      </c>
      <c r="DR161" s="2"/>
      <c r="DS161" s="2"/>
      <c r="DT161" s="2"/>
      <c r="DU161" s="2">
        <v>1005</v>
      </c>
      <c r="DV161" s="2" t="s">
        <v>149</v>
      </c>
      <c r="DW161" s="2" t="s">
        <v>149</v>
      </c>
      <c r="DX161" s="2">
        <v>1000</v>
      </c>
      <c r="DY161" s="2"/>
      <c r="DZ161" s="2" t="s">
        <v>6</v>
      </c>
      <c r="EA161" s="2" t="s">
        <v>6</v>
      </c>
      <c r="EB161" s="2" t="s">
        <v>6</v>
      </c>
      <c r="EC161" s="2" t="s">
        <v>6</v>
      </c>
      <c r="ED161" s="2"/>
      <c r="EE161" s="2">
        <v>69252791</v>
      </c>
      <c r="EF161" s="2">
        <v>30</v>
      </c>
      <c r="EG161" s="2" t="s">
        <v>29</v>
      </c>
      <c r="EH161" s="2">
        <v>0</v>
      </c>
      <c r="EI161" s="2" t="s">
        <v>6</v>
      </c>
      <c r="EJ161" s="2">
        <v>1</v>
      </c>
      <c r="EK161" s="2">
        <v>166</v>
      </c>
      <c r="EL161" s="2" t="s">
        <v>151</v>
      </c>
      <c r="EM161" s="2" t="s">
        <v>152</v>
      </c>
      <c r="EN161" s="2"/>
      <c r="EO161" s="2" t="s">
        <v>6</v>
      </c>
      <c r="EP161" s="2"/>
      <c r="EQ161" s="2">
        <v>0</v>
      </c>
      <c r="ER161" s="2">
        <v>951.58</v>
      </c>
      <c r="ES161" s="2">
        <v>0.89</v>
      </c>
      <c r="ET161" s="2">
        <v>665.38</v>
      </c>
      <c r="EU161" s="2">
        <v>59.93</v>
      </c>
      <c r="EV161" s="2">
        <v>285.31</v>
      </c>
      <c r="EW161" s="2">
        <v>27.7</v>
      </c>
      <c r="EX161" s="2">
        <v>0</v>
      </c>
      <c r="EY161" s="2">
        <v>0</v>
      </c>
      <c r="EZ161" s="2"/>
      <c r="FA161" s="2"/>
      <c r="FB161" s="2"/>
      <c r="FC161" s="2"/>
      <c r="FD161" s="2"/>
      <c r="FE161" s="2"/>
      <c r="FF161" s="2"/>
      <c r="FG161" s="2"/>
      <c r="FH161" s="2"/>
      <c r="FI161" s="2"/>
      <c r="FJ161" s="2"/>
      <c r="FK161" s="2"/>
      <c r="FL161" s="2"/>
      <c r="FM161" s="2"/>
      <c r="FN161" s="2"/>
      <c r="FO161" s="2"/>
      <c r="FP161" s="2"/>
      <c r="FQ161" s="2">
        <v>0</v>
      </c>
      <c r="FR161" s="2">
        <f t="shared" si="194"/>
        <v>0</v>
      </c>
      <c r="FS161" s="2">
        <v>0</v>
      </c>
      <c r="FT161" s="2"/>
      <c r="FU161" s="2"/>
      <c r="FV161" s="2"/>
      <c r="FW161" s="2"/>
      <c r="FX161" s="2">
        <v>161</v>
      </c>
      <c r="FY161" s="2">
        <v>107</v>
      </c>
      <c r="FZ161" s="2"/>
      <c r="GA161" s="2" t="s">
        <v>6</v>
      </c>
      <c r="GB161" s="2"/>
      <c r="GC161" s="2"/>
      <c r="GD161" s="2">
        <v>0</v>
      </c>
      <c r="GE161" s="2"/>
      <c r="GF161" s="2">
        <v>-422459187</v>
      </c>
      <c r="GG161" s="2">
        <v>2</v>
      </c>
      <c r="GH161" s="2">
        <v>1</v>
      </c>
      <c r="GI161" s="2">
        <v>-2</v>
      </c>
      <c r="GJ161" s="2">
        <v>0</v>
      </c>
      <c r="GK161" s="2">
        <f>ROUND(R161*(R12)/100,2)</f>
        <v>166.29</v>
      </c>
      <c r="GL161" s="2">
        <f t="shared" si="195"/>
        <v>0</v>
      </c>
      <c r="GM161" s="2">
        <f t="shared" si="196"/>
        <v>2887.41</v>
      </c>
      <c r="GN161" s="2">
        <f t="shared" si="197"/>
        <v>2887.41</v>
      </c>
      <c r="GO161" s="2">
        <f t="shared" si="198"/>
        <v>0</v>
      </c>
      <c r="GP161" s="2">
        <f t="shared" si="199"/>
        <v>0</v>
      </c>
      <c r="GQ161" s="2"/>
      <c r="GR161" s="2">
        <v>0</v>
      </c>
      <c r="GS161" s="2">
        <v>3</v>
      </c>
      <c r="GT161" s="2">
        <v>0</v>
      </c>
      <c r="GU161" s="2" t="s">
        <v>6</v>
      </c>
      <c r="GV161" s="2">
        <f t="shared" si="200"/>
        <v>0</v>
      </c>
      <c r="GW161" s="2">
        <v>1</v>
      </c>
      <c r="GX161" s="2">
        <f t="shared" si="201"/>
        <v>0</v>
      </c>
      <c r="GY161" s="2"/>
      <c r="GZ161" s="2"/>
      <c r="HA161" s="2">
        <v>0</v>
      </c>
      <c r="HB161" s="2">
        <v>0</v>
      </c>
      <c r="HC161" s="2">
        <f t="shared" si="202"/>
        <v>0</v>
      </c>
      <c r="HD161" s="2"/>
      <c r="HE161" s="2" t="s">
        <v>6</v>
      </c>
      <c r="HF161" s="2" t="s">
        <v>6</v>
      </c>
      <c r="HG161" s="2"/>
      <c r="HH161" s="2"/>
      <c r="HI161" s="2"/>
      <c r="HJ161" s="2"/>
      <c r="HK161" s="2"/>
      <c r="HL161" s="2"/>
      <c r="HM161" s="2" t="s">
        <v>6</v>
      </c>
      <c r="HN161" s="2" t="s">
        <v>6</v>
      </c>
      <c r="HO161" s="2" t="s">
        <v>6</v>
      </c>
      <c r="HP161" s="2" t="s">
        <v>6</v>
      </c>
      <c r="HQ161" s="2" t="s">
        <v>6</v>
      </c>
      <c r="HR161" s="2"/>
      <c r="HS161" s="2"/>
      <c r="HT161" s="2"/>
      <c r="HU161" s="2"/>
      <c r="HV161" s="2"/>
      <c r="HW161" s="2"/>
      <c r="HX161" s="2"/>
      <c r="HY161" s="2"/>
      <c r="HZ161" s="2"/>
      <c r="IA161" s="2"/>
      <c r="IB161" s="2"/>
      <c r="IC161" s="2"/>
      <c r="ID161" s="2"/>
      <c r="IE161" s="2"/>
      <c r="IF161" s="2"/>
      <c r="IG161" s="2"/>
      <c r="IH161" s="2"/>
      <c r="II161" s="2"/>
      <c r="IJ161" s="2"/>
      <c r="IK161" s="2">
        <v>0</v>
      </c>
      <c r="IL161" s="2"/>
      <c r="IM161" s="2"/>
      <c r="IN161" s="2"/>
      <c r="IO161" s="2"/>
      <c r="IP161" s="2"/>
      <c r="IQ161" s="2"/>
      <c r="IR161" s="2"/>
      <c r="IS161" s="2"/>
      <c r="IT161" s="2"/>
      <c r="IU161" s="2"/>
    </row>
    <row r="162" spans="1:255">
      <c r="A162">
        <v>17</v>
      </c>
      <c r="B162">
        <v>1</v>
      </c>
      <c r="E162" t="s">
        <v>187</v>
      </c>
      <c r="F162" t="s">
        <v>147</v>
      </c>
      <c r="G162" t="s">
        <v>148</v>
      </c>
      <c r="H162" t="s">
        <v>149</v>
      </c>
      <c r="I162">
        <f>ROUND((1514.4)/1000,9)</f>
        <v>1.5144</v>
      </c>
      <c r="J162">
        <v>0</v>
      </c>
      <c r="K162">
        <f>ROUND((1514.4)/1000,9)</f>
        <v>1.5144</v>
      </c>
      <c r="O162">
        <f t="shared" si="165"/>
        <v>35376.559999999998</v>
      </c>
      <c r="P162">
        <f t="shared" si="166"/>
        <v>10.8</v>
      </c>
      <c r="Q162">
        <f t="shared" si="167"/>
        <v>14253.19</v>
      </c>
      <c r="R162">
        <f t="shared" si="168"/>
        <v>4434.58</v>
      </c>
      <c r="S162">
        <f t="shared" si="169"/>
        <v>21112.57</v>
      </c>
      <c r="T162">
        <f t="shared" si="170"/>
        <v>0</v>
      </c>
      <c r="U162">
        <f t="shared" si="171"/>
        <v>43.920477359999992</v>
      </c>
      <c r="V162">
        <f t="shared" si="172"/>
        <v>0</v>
      </c>
      <c r="W162">
        <f t="shared" si="173"/>
        <v>0</v>
      </c>
      <c r="X162">
        <f t="shared" si="174"/>
        <v>28290.84</v>
      </c>
      <c r="Y162">
        <f t="shared" si="175"/>
        <v>11611.91</v>
      </c>
      <c r="AA162">
        <v>70322059</v>
      </c>
      <c r="AB162">
        <f t="shared" si="176"/>
        <v>951.58</v>
      </c>
      <c r="AC162">
        <f t="shared" si="177"/>
        <v>0.89</v>
      </c>
      <c r="AD162">
        <f t="shared" si="178"/>
        <v>665.38</v>
      </c>
      <c r="AE162">
        <f t="shared" si="179"/>
        <v>59.93</v>
      </c>
      <c r="AF162">
        <f t="shared" si="180"/>
        <v>285.31</v>
      </c>
      <c r="AG162">
        <f t="shared" si="181"/>
        <v>0</v>
      </c>
      <c r="AH162">
        <f t="shared" si="182"/>
        <v>27.7</v>
      </c>
      <c r="AI162">
        <f t="shared" si="183"/>
        <v>0</v>
      </c>
      <c r="AJ162">
        <f t="shared" si="184"/>
        <v>0</v>
      </c>
      <c r="AK162">
        <v>951.58</v>
      </c>
      <c r="AL162">
        <v>0.89</v>
      </c>
      <c r="AM162">
        <v>665.38</v>
      </c>
      <c r="AN162">
        <v>59.93</v>
      </c>
      <c r="AO162">
        <v>285.31</v>
      </c>
      <c r="AP162">
        <v>0</v>
      </c>
      <c r="AQ162">
        <v>27.7</v>
      </c>
      <c r="AR162">
        <v>0</v>
      </c>
      <c r="AS162">
        <v>0</v>
      </c>
      <c r="AT162">
        <v>134</v>
      </c>
      <c r="AU162">
        <v>55</v>
      </c>
      <c r="AV162">
        <v>1.0469999999999999</v>
      </c>
      <c r="AW162">
        <v>1.002</v>
      </c>
      <c r="AZ162">
        <v>1</v>
      </c>
      <c r="BA162">
        <v>46.67</v>
      </c>
      <c r="BB162">
        <v>13.51</v>
      </c>
      <c r="BC162">
        <v>8</v>
      </c>
      <c r="BD162" t="s">
        <v>6</v>
      </c>
      <c r="BE162" t="s">
        <v>6</v>
      </c>
      <c r="BF162" t="s">
        <v>6</v>
      </c>
      <c r="BG162" t="s">
        <v>6</v>
      </c>
      <c r="BH162">
        <v>0</v>
      </c>
      <c r="BI162">
        <v>1</v>
      </c>
      <c r="BJ162" t="s">
        <v>150</v>
      </c>
      <c r="BM162">
        <v>166</v>
      </c>
      <c r="BN162">
        <v>0</v>
      </c>
      <c r="BO162" t="s">
        <v>147</v>
      </c>
      <c r="BP162">
        <v>1</v>
      </c>
      <c r="BQ162">
        <v>30</v>
      </c>
      <c r="BR162">
        <v>0</v>
      </c>
      <c r="BS162">
        <v>46.67</v>
      </c>
      <c r="BT162">
        <v>1</v>
      </c>
      <c r="BU162">
        <v>1</v>
      </c>
      <c r="BV162">
        <v>1</v>
      </c>
      <c r="BW162">
        <v>1</v>
      </c>
      <c r="BX162">
        <v>1</v>
      </c>
      <c r="BY162" t="s">
        <v>6</v>
      </c>
      <c r="BZ162">
        <v>134</v>
      </c>
      <c r="CA162">
        <v>55</v>
      </c>
      <c r="CB162" t="s">
        <v>6</v>
      </c>
      <c r="CE162">
        <v>30</v>
      </c>
      <c r="CF162">
        <v>0</v>
      </c>
      <c r="CG162">
        <v>0</v>
      </c>
      <c r="CM162">
        <v>0</v>
      </c>
      <c r="CN162" t="s">
        <v>6</v>
      </c>
      <c r="CO162">
        <v>0</v>
      </c>
      <c r="CP162">
        <f t="shared" si="185"/>
        <v>35376.559999999998</v>
      </c>
      <c r="CQ162">
        <f t="shared" si="186"/>
        <v>7.12</v>
      </c>
      <c r="CR162">
        <f t="shared" si="187"/>
        <v>9411.74</v>
      </c>
      <c r="CS162">
        <f t="shared" si="188"/>
        <v>2928.54</v>
      </c>
      <c r="CT162">
        <f t="shared" si="189"/>
        <v>13941.26</v>
      </c>
      <c r="CU162">
        <f t="shared" si="190"/>
        <v>0</v>
      </c>
      <c r="CV162">
        <f t="shared" si="191"/>
        <v>29.001899999999996</v>
      </c>
      <c r="CW162">
        <f t="shared" si="192"/>
        <v>0</v>
      </c>
      <c r="CX162">
        <f t="shared" si="193"/>
        <v>0</v>
      </c>
      <c r="CY162">
        <f>S162*(BZ162/100)</f>
        <v>28290.843800000002</v>
      </c>
      <c r="CZ162">
        <f>S162*(CA162/100)</f>
        <v>11611.913500000001</v>
      </c>
      <c r="DC162" t="s">
        <v>6</v>
      </c>
      <c r="DD162" t="s">
        <v>6</v>
      </c>
      <c r="DE162" t="s">
        <v>6</v>
      </c>
      <c r="DF162" t="s">
        <v>6</v>
      </c>
      <c r="DG162" t="s">
        <v>6</v>
      </c>
      <c r="DH162" t="s">
        <v>6</v>
      </c>
      <c r="DI162" t="s">
        <v>6</v>
      </c>
      <c r="DJ162" t="s">
        <v>6</v>
      </c>
      <c r="DK162" t="s">
        <v>6</v>
      </c>
      <c r="DL162" t="s">
        <v>6</v>
      </c>
      <c r="DM162" t="s">
        <v>6</v>
      </c>
      <c r="DN162">
        <v>161</v>
      </c>
      <c r="DO162">
        <v>107</v>
      </c>
      <c r="DP162">
        <v>1.0469999999999999</v>
      </c>
      <c r="DQ162">
        <v>1.002</v>
      </c>
      <c r="DU162">
        <v>1005</v>
      </c>
      <c r="DV162" t="s">
        <v>149</v>
      </c>
      <c r="DW162" t="s">
        <v>149</v>
      </c>
      <c r="DX162">
        <v>1000</v>
      </c>
      <c r="DZ162" t="s">
        <v>6</v>
      </c>
      <c r="EA162" t="s">
        <v>6</v>
      </c>
      <c r="EB162" t="s">
        <v>6</v>
      </c>
      <c r="EC162" t="s">
        <v>6</v>
      </c>
      <c r="EE162">
        <v>69252791</v>
      </c>
      <c r="EF162">
        <v>30</v>
      </c>
      <c r="EG162" t="s">
        <v>29</v>
      </c>
      <c r="EH162">
        <v>0</v>
      </c>
      <c r="EI162" t="s">
        <v>6</v>
      </c>
      <c r="EJ162">
        <v>1</v>
      </c>
      <c r="EK162">
        <v>166</v>
      </c>
      <c r="EL162" t="s">
        <v>151</v>
      </c>
      <c r="EM162" t="s">
        <v>152</v>
      </c>
      <c r="EO162" t="s">
        <v>6</v>
      </c>
      <c r="EQ162">
        <v>0</v>
      </c>
      <c r="ER162">
        <v>951.58</v>
      </c>
      <c r="ES162">
        <v>0.89</v>
      </c>
      <c r="ET162">
        <v>665.38</v>
      </c>
      <c r="EU162">
        <v>59.93</v>
      </c>
      <c r="EV162">
        <v>285.31</v>
      </c>
      <c r="EW162">
        <v>27.7</v>
      </c>
      <c r="EX162">
        <v>0</v>
      </c>
      <c r="EY162">
        <v>0</v>
      </c>
      <c r="FQ162">
        <v>0</v>
      </c>
      <c r="FR162">
        <f t="shared" si="194"/>
        <v>0</v>
      </c>
      <c r="FS162">
        <v>0</v>
      </c>
      <c r="FX162">
        <v>161</v>
      </c>
      <c r="FY162">
        <v>107</v>
      </c>
      <c r="GA162" t="s">
        <v>6</v>
      </c>
      <c r="GD162">
        <v>0</v>
      </c>
      <c r="GF162">
        <v>-422459187</v>
      </c>
      <c r="GG162">
        <v>2</v>
      </c>
      <c r="GH162">
        <v>1</v>
      </c>
      <c r="GI162">
        <v>2</v>
      </c>
      <c r="GJ162">
        <v>0</v>
      </c>
      <c r="GK162">
        <f>ROUND(R162*(S12)/100,2)</f>
        <v>7095.33</v>
      </c>
      <c r="GL162">
        <f t="shared" si="195"/>
        <v>0</v>
      </c>
      <c r="GM162">
        <f t="shared" si="196"/>
        <v>82374.64</v>
      </c>
      <c r="GN162">
        <f t="shared" si="197"/>
        <v>82374.64</v>
      </c>
      <c r="GO162">
        <f t="shared" si="198"/>
        <v>0</v>
      </c>
      <c r="GP162">
        <f t="shared" si="199"/>
        <v>0</v>
      </c>
      <c r="GR162">
        <v>0</v>
      </c>
      <c r="GS162">
        <v>0</v>
      </c>
      <c r="GT162">
        <v>0</v>
      </c>
      <c r="GU162" t="s">
        <v>6</v>
      </c>
      <c r="GV162">
        <f t="shared" si="200"/>
        <v>0</v>
      </c>
      <c r="GW162">
        <v>1</v>
      </c>
      <c r="GX162">
        <f t="shared" si="201"/>
        <v>0</v>
      </c>
      <c r="HA162">
        <v>0</v>
      </c>
      <c r="HB162">
        <v>0</v>
      </c>
      <c r="HC162">
        <f t="shared" si="202"/>
        <v>0</v>
      </c>
      <c r="HE162" t="s">
        <v>6</v>
      </c>
      <c r="HF162" t="s">
        <v>6</v>
      </c>
      <c r="HM162" t="s">
        <v>6</v>
      </c>
      <c r="HN162" t="s">
        <v>6</v>
      </c>
      <c r="HO162" t="s">
        <v>6</v>
      </c>
      <c r="HP162" t="s">
        <v>6</v>
      </c>
      <c r="HQ162" t="s">
        <v>6</v>
      </c>
      <c r="IK162">
        <v>0</v>
      </c>
    </row>
    <row r="163" spans="1:255">
      <c r="A163" s="2">
        <v>18</v>
      </c>
      <c r="B163" s="2">
        <v>1</v>
      </c>
      <c r="C163" s="2"/>
      <c r="D163" s="2"/>
      <c r="E163" s="2" t="s">
        <v>188</v>
      </c>
      <c r="F163" s="2" t="s">
        <v>154</v>
      </c>
      <c r="G163" s="2" t="s">
        <v>155</v>
      </c>
      <c r="H163" s="2" t="s">
        <v>156</v>
      </c>
      <c r="I163" s="2">
        <f>I161*J163</f>
        <v>1514.4</v>
      </c>
      <c r="J163" s="2">
        <v>1000.0000000000001</v>
      </c>
      <c r="K163" s="2">
        <v>1000</v>
      </c>
      <c r="L163" s="2"/>
      <c r="M163" s="2"/>
      <c r="N163" s="2"/>
      <c r="O163" s="2">
        <f t="shared" si="165"/>
        <v>21046.74</v>
      </c>
      <c r="P163" s="2">
        <f t="shared" si="166"/>
        <v>21046.74</v>
      </c>
      <c r="Q163" s="2">
        <f t="shared" si="167"/>
        <v>0</v>
      </c>
      <c r="R163" s="2">
        <f t="shared" si="168"/>
        <v>0</v>
      </c>
      <c r="S163" s="2">
        <f t="shared" si="169"/>
        <v>0</v>
      </c>
      <c r="T163" s="2">
        <f t="shared" si="170"/>
        <v>0</v>
      </c>
      <c r="U163" s="2">
        <f t="shared" si="171"/>
        <v>0</v>
      </c>
      <c r="V163" s="2">
        <f t="shared" si="172"/>
        <v>0</v>
      </c>
      <c r="W163" s="2">
        <f t="shared" si="173"/>
        <v>0</v>
      </c>
      <c r="X163" s="2">
        <f t="shared" si="174"/>
        <v>0</v>
      </c>
      <c r="Y163" s="2">
        <f t="shared" si="175"/>
        <v>0</v>
      </c>
      <c r="Z163" s="2"/>
      <c r="AA163" s="2">
        <v>70322058</v>
      </c>
      <c r="AB163" s="2">
        <f t="shared" si="176"/>
        <v>13.87</v>
      </c>
      <c r="AC163" s="2">
        <f t="shared" si="177"/>
        <v>13.87</v>
      </c>
      <c r="AD163" s="2">
        <f t="shared" si="178"/>
        <v>0</v>
      </c>
      <c r="AE163" s="2">
        <f t="shared" si="179"/>
        <v>0</v>
      </c>
      <c r="AF163" s="2">
        <f t="shared" si="180"/>
        <v>0</v>
      </c>
      <c r="AG163" s="2">
        <f t="shared" si="181"/>
        <v>0</v>
      </c>
      <c r="AH163" s="2">
        <f t="shared" si="182"/>
        <v>0</v>
      </c>
      <c r="AI163" s="2">
        <f t="shared" si="183"/>
        <v>0</v>
      </c>
      <c r="AJ163" s="2">
        <f t="shared" si="184"/>
        <v>0</v>
      </c>
      <c r="AK163" s="2">
        <v>13.87</v>
      </c>
      <c r="AL163" s="2">
        <v>13.87</v>
      </c>
      <c r="AM163" s="2">
        <v>0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161</v>
      </c>
      <c r="AU163" s="2">
        <v>107</v>
      </c>
      <c r="AV163" s="2">
        <v>1.0469999999999999</v>
      </c>
      <c r="AW163" s="2">
        <v>1.002</v>
      </c>
      <c r="AX163" s="2"/>
      <c r="AY163" s="2"/>
      <c r="AZ163" s="2">
        <v>1</v>
      </c>
      <c r="BA163" s="2">
        <v>1</v>
      </c>
      <c r="BB163" s="2">
        <v>1</v>
      </c>
      <c r="BC163" s="2">
        <v>1</v>
      </c>
      <c r="BD163" s="2" t="s">
        <v>6</v>
      </c>
      <c r="BE163" s="2" t="s">
        <v>6</v>
      </c>
      <c r="BF163" s="2" t="s">
        <v>6</v>
      </c>
      <c r="BG163" s="2" t="s">
        <v>6</v>
      </c>
      <c r="BH163" s="2">
        <v>3</v>
      </c>
      <c r="BI163" s="2">
        <v>1</v>
      </c>
      <c r="BJ163" s="2" t="s">
        <v>157</v>
      </c>
      <c r="BK163" s="2"/>
      <c r="BL163" s="2"/>
      <c r="BM163" s="2">
        <v>166</v>
      </c>
      <c r="BN163" s="2">
        <v>0</v>
      </c>
      <c r="BO163" s="2" t="s">
        <v>6</v>
      </c>
      <c r="BP163" s="2">
        <v>0</v>
      </c>
      <c r="BQ163" s="2">
        <v>30</v>
      </c>
      <c r="BR163" s="2">
        <v>0</v>
      </c>
      <c r="BS163" s="2">
        <v>1</v>
      </c>
      <c r="BT163" s="2">
        <v>1</v>
      </c>
      <c r="BU163" s="2">
        <v>1</v>
      </c>
      <c r="BV163" s="2">
        <v>1</v>
      </c>
      <c r="BW163" s="2">
        <v>1</v>
      </c>
      <c r="BX163" s="2">
        <v>1</v>
      </c>
      <c r="BY163" s="2" t="s">
        <v>6</v>
      </c>
      <c r="BZ163" s="2">
        <v>161</v>
      </c>
      <c r="CA163" s="2">
        <v>107</v>
      </c>
      <c r="CB163" s="2" t="s">
        <v>6</v>
      </c>
      <c r="CC163" s="2"/>
      <c r="CD163" s="2"/>
      <c r="CE163" s="2">
        <v>30</v>
      </c>
      <c r="CF163" s="2">
        <v>0</v>
      </c>
      <c r="CG163" s="2">
        <v>0</v>
      </c>
      <c r="CH163" s="2"/>
      <c r="CI163" s="2"/>
      <c r="CJ163" s="2"/>
      <c r="CK163" s="2"/>
      <c r="CL163" s="2"/>
      <c r="CM163" s="2">
        <v>0</v>
      </c>
      <c r="CN163" s="2" t="s">
        <v>6</v>
      </c>
      <c r="CO163" s="2">
        <v>0</v>
      </c>
      <c r="CP163" s="2">
        <f t="shared" si="185"/>
        <v>21046.74</v>
      </c>
      <c r="CQ163" s="2">
        <f t="shared" si="186"/>
        <v>13.9</v>
      </c>
      <c r="CR163" s="2">
        <f t="shared" si="187"/>
        <v>0</v>
      </c>
      <c r="CS163" s="2">
        <f t="shared" si="188"/>
        <v>0</v>
      </c>
      <c r="CT163" s="2">
        <f t="shared" si="189"/>
        <v>0</v>
      </c>
      <c r="CU163" s="2">
        <f t="shared" si="190"/>
        <v>0</v>
      </c>
      <c r="CV163" s="2">
        <f t="shared" si="191"/>
        <v>0</v>
      </c>
      <c r="CW163" s="2">
        <f t="shared" si="192"/>
        <v>0</v>
      </c>
      <c r="CX163" s="2">
        <f t="shared" si="193"/>
        <v>0</v>
      </c>
      <c r="CY163" s="2">
        <f>((S163*BZ163)/100)</f>
        <v>0</v>
      </c>
      <c r="CZ163" s="2">
        <f>((S163*CA163)/100)</f>
        <v>0</v>
      </c>
      <c r="DA163" s="2"/>
      <c r="DB163" s="2"/>
      <c r="DC163" s="2" t="s">
        <v>6</v>
      </c>
      <c r="DD163" s="2" t="s">
        <v>6</v>
      </c>
      <c r="DE163" s="2" t="s">
        <v>6</v>
      </c>
      <c r="DF163" s="2" t="s">
        <v>6</v>
      </c>
      <c r="DG163" s="2" t="s">
        <v>6</v>
      </c>
      <c r="DH163" s="2" t="s">
        <v>6</v>
      </c>
      <c r="DI163" s="2" t="s">
        <v>6</v>
      </c>
      <c r="DJ163" s="2" t="s">
        <v>6</v>
      </c>
      <c r="DK163" s="2" t="s">
        <v>6</v>
      </c>
      <c r="DL163" s="2" t="s">
        <v>6</v>
      </c>
      <c r="DM163" s="2" t="s">
        <v>6</v>
      </c>
      <c r="DN163" s="2">
        <v>0</v>
      </c>
      <c r="DO163" s="2">
        <v>0</v>
      </c>
      <c r="DP163" s="2">
        <v>1</v>
      </c>
      <c r="DQ163" s="2">
        <v>1</v>
      </c>
      <c r="DR163" s="2"/>
      <c r="DS163" s="2"/>
      <c r="DT163" s="2"/>
      <c r="DU163" s="2">
        <v>1005</v>
      </c>
      <c r="DV163" s="2" t="s">
        <v>156</v>
      </c>
      <c r="DW163" s="2" t="s">
        <v>156</v>
      </c>
      <c r="DX163" s="2">
        <v>1</v>
      </c>
      <c r="DY163" s="2"/>
      <c r="DZ163" s="2" t="s">
        <v>6</v>
      </c>
      <c r="EA163" s="2" t="s">
        <v>6</v>
      </c>
      <c r="EB163" s="2" t="s">
        <v>6</v>
      </c>
      <c r="EC163" s="2" t="s">
        <v>6</v>
      </c>
      <c r="ED163" s="2"/>
      <c r="EE163" s="2">
        <v>69252791</v>
      </c>
      <c r="EF163" s="2">
        <v>30</v>
      </c>
      <c r="EG163" s="2" t="s">
        <v>29</v>
      </c>
      <c r="EH163" s="2">
        <v>0</v>
      </c>
      <c r="EI163" s="2" t="s">
        <v>6</v>
      </c>
      <c r="EJ163" s="2">
        <v>1</v>
      </c>
      <c r="EK163" s="2">
        <v>166</v>
      </c>
      <c r="EL163" s="2" t="s">
        <v>151</v>
      </c>
      <c r="EM163" s="2" t="s">
        <v>152</v>
      </c>
      <c r="EN163" s="2"/>
      <c r="EO163" s="2" t="s">
        <v>6</v>
      </c>
      <c r="EP163" s="2"/>
      <c r="EQ163" s="2">
        <v>0</v>
      </c>
      <c r="ER163" s="2">
        <v>13.87</v>
      </c>
      <c r="ES163" s="2">
        <v>13.87</v>
      </c>
      <c r="ET163" s="2">
        <v>0</v>
      </c>
      <c r="EU163" s="2">
        <v>0</v>
      </c>
      <c r="EV163" s="2">
        <v>0</v>
      </c>
      <c r="EW163" s="2">
        <v>0</v>
      </c>
      <c r="EX163" s="2">
        <v>0</v>
      </c>
      <c r="EY163" s="2"/>
      <c r="EZ163" s="2"/>
      <c r="FA163" s="2"/>
      <c r="FB163" s="2"/>
      <c r="FC163" s="2"/>
      <c r="FD163" s="2"/>
      <c r="FE163" s="2"/>
      <c r="FF163" s="2"/>
      <c r="FG163" s="2"/>
      <c r="FH163" s="2"/>
      <c r="FI163" s="2"/>
      <c r="FJ163" s="2"/>
      <c r="FK163" s="2"/>
      <c r="FL163" s="2"/>
      <c r="FM163" s="2"/>
      <c r="FN163" s="2"/>
      <c r="FO163" s="2"/>
      <c r="FP163" s="2"/>
      <c r="FQ163" s="2">
        <v>0</v>
      </c>
      <c r="FR163" s="2">
        <f t="shared" si="194"/>
        <v>0</v>
      </c>
      <c r="FS163" s="2">
        <v>0</v>
      </c>
      <c r="FT163" s="2"/>
      <c r="FU163" s="2"/>
      <c r="FV163" s="2"/>
      <c r="FW163" s="2"/>
      <c r="FX163" s="2">
        <v>161</v>
      </c>
      <c r="FY163" s="2">
        <v>107</v>
      </c>
      <c r="FZ163" s="2"/>
      <c r="GA163" s="2" t="s">
        <v>6</v>
      </c>
      <c r="GB163" s="2"/>
      <c r="GC163" s="2"/>
      <c r="GD163" s="2">
        <v>0</v>
      </c>
      <c r="GE163" s="2"/>
      <c r="GF163" s="2">
        <v>95347054</v>
      </c>
      <c r="GG163" s="2">
        <v>2</v>
      </c>
      <c r="GH163" s="2">
        <v>1</v>
      </c>
      <c r="GI163" s="2">
        <v>-2</v>
      </c>
      <c r="GJ163" s="2">
        <v>0</v>
      </c>
      <c r="GK163" s="2">
        <f>ROUND(R163*(R12)/100,2)</f>
        <v>0</v>
      </c>
      <c r="GL163" s="2">
        <f t="shared" si="195"/>
        <v>0</v>
      </c>
      <c r="GM163" s="2">
        <f t="shared" si="196"/>
        <v>21046.74</v>
      </c>
      <c r="GN163" s="2">
        <f t="shared" si="197"/>
        <v>21046.74</v>
      </c>
      <c r="GO163" s="2">
        <f t="shared" si="198"/>
        <v>0</v>
      </c>
      <c r="GP163" s="2">
        <f t="shared" si="199"/>
        <v>0</v>
      </c>
      <c r="GQ163" s="2"/>
      <c r="GR163" s="2">
        <v>0</v>
      </c>
      <c r="GS163" s="2">
        <v>3</v>
      </c>
      <c r="GT163" s="2">
        <v>0</v>
      </c>
      <c r="GU163" s="2" t="s">
        <v>6</v>
      </c>
      <c r="GV163" s="2">
        <f t="shared" si="200"/>
        <v>0</v>
      </c>
      <c r="GW163" s="2">
        <v>1</v>
      </c>
      <c r="GX163" s="2">
        <f t="shared" si="201"/>
        <v>0</v>
      </c>
      <c r="GY163" s="2"/>
      <c r="GZ163" s="2"/>
      <c r="HA163" s="2">
        <v>0</v>
      </c>
      <c r="HB163" s="2">
        <v>0</v>
      </c>
      <c r="HC163" s="2">
        <f t="shared" si="202"/>
        <v>0</v>
      </c>
      <c r="HD163" s="2"/>
      <c r="HE163" s="2" t="s">
        <v>6</v>
      </c>
      <c r="HF163" s="2" t="s">
        <v>6</v>
      </c>
      <c r="HG163" s="2"/>
      <c r="HH163" s="2"/>
      <c r="HI163" s="2"/>
      <c r="HJ163" s="2"/>
      <c r="HK163" s="2"/>
      <c r="HL163" s="2"/>
      <c r="HM163" s="2" t="s">
        <v>6</v>
      </c>
      <c r="HN163" s="2" t="s">
        <v>6</v>
      </c>
      <c r="HO163" s="2" t="s">
        <v>6</v>
      </c>
      <c r="HP163" s="2" t="s">
        <v>6</v>
      </c>
      <c r="HQ163" s="2" t="s">
        <v>6</v>
      </c>
      <c r="HR163" s="2"/>
      <c r="HS163" s="2"/>
      <c r="HT163" s="2"/>
      <c r="HU163" s="2"/>
      <c r="HV163" s="2"/>
      <c r="HW163" s="2"/>
      <c r="HX163" s="2"/>
      <c r="HY163" s="2"/>
      <c r="HZ163" s="2"/>
      <c r="IA163" s="2"/>
      <c r="IB163" s="2"/>
      <c r="IC163" s="2"/>
      <c r="ID163" s="2"/>
      <c r="IE163" s="2"/>
      <c r="IF163" s="2"/>
      <c r="IG163" s="2"/>
      <c r="IH163" s="2"/>
      <c r="II163" s="2"/>
      <c r="IJ163" s="2"/>
      <c r="IK163" s="2">
        <v>0</v>
      </c>
      <c r="IL163" s="2"/>
      <c r="IM163" s="2"/>
      <c r="IN163" s="2"/>
      <c r="IO163" s="2"/>
      <c r="IP163" s="2"/>
      <c r="IQ163" s="2"/>
      <c r="IR163" s="2"/>
      <c r="IS163" s="2"/>
      <c r="IT163" s="2"/>
      <c r="IU163" s="2"/>
    </row>
    <row r="164" spans="1:255">
      <c r="A164">
        <v>18</v>
      </c>
      <c r="B164">
        <v>1</v>
      </c>
      <c r="E164" t="s">
        <v>188</v>
      </c>
      <c r="F164" t="s">
        <v>154</v>
      </c>
      <c r="G164" t="s">
        <v>155</v>
      </c>
      <c r="H164" t="s">
        <v>156</v>
      </c>
      <c r="I164">
        <f>I162*J164</f>
        <v>1514.4</v>
      </c>
      <c r="J164">
        <v>1000.0000000000001</v>
      </c>
      <c r="K164">
        <v>1000</v>
      </c>
      <c r="O164">
        <f t="shared" si="165"/>
        <v>79135.740000000005</v>
      </c>
      <c r="P164">
        <f t="shared" si="166"/>
        <v>79135.740000000005</v>
      </c>
      <c r="Q164">
        <f t="shared" si="167"/>
        <v>0</v>
      </c>
      <c r="R164">
        <f t="shared" si="168"/>
        <v>0</v>
      </c>
      <c r="S164">
        <f t="shared" si="169"/>
        <v>0</v>
      </c>
      <c r="T164">
        <f t="shared" si="170"/>
        <v>0</v>
      </c>
      <c r="U164">
        <f t="shared" si="171"/>
        <v>0</v>
      </c>
      <c r="V164">
        <f t="shared" si="172"/>
        <v>0</v>
      </c>
      <c r="W164">
        <f t="shared" si="173"/>
        <v>0</v>
      </c>
      <c r="X164">
        <f t="shared" si="174"/>
        <v>0</v>
      </c>
      <c r="Y164">
        <f t="shared" si="175"/>
        <v>0</v>
      </c>
      <c r="AA164">
        <v>70322059</v>
      </c>
      <c r="AB164">
        <f t="shared" si="176"/>
        <v>13.87</v>
      </c>
      <c r="AC164">
        <f t="shared" si="177"/>
        <v>13.87</v>
      </c>
      <c r="AD164">
        <f t="shared" si="178"/>
        <v>0</v>
      </c>
      <c r="AE164">
        <f t="shared" si="179"/>
        <v>0</v>
      </c>
      <c r="AF164">
        <f t="shared" si="180"/>
        <v>0</v>
      </c>
      <c r="AG164">
        <f t="shared" si="181"/>
        <v>0</v>
      </c>
      <c r="AH164">
        <f t="shared" si="182"/>
        <v>0</v>
      </c>
      <c r="AI164">
        <f t="shared" si="183"/>
        <v>0</v>
      </c>
      <c r="AJ164">
        <f t="shared" si="184"/>
        <v>0</v>
      </c>
      <c r="AK164">
        <v>13.87</v>
      </c>
      <c r="AL164">
        <v>13.87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1.0469999999999999</v>
      </c>
      <c r="AW164">
        <v>1.002</v>
      </c>
      <c r="AZ164">
        <v>1</v>
      </c>
      <c r="BA164">
        <v>1</v>
      </c>
      <c r="BB164">
        <v>1</v>
      </c>
      <c r="BC164">
        <v>3.76</v>
      </c>
      <c r="BD164" t="s">
        <v>6</v>
      </c>
      <c r="BE164" t="s">
        <v>6</v>
      </c>
      <c r="BF164" t="s">
        <v>6</v>
      </c>
      <c r="BG164" t="s">
        <v>6</v>
      </c>
      <c r="BH164">
        <v>3</v>
      </c>
      <c r="BI164">
        <v>1</v>
      </c>
      <c r="BJ164" t="s">
        <v>157</v>
      </c>
      <c r="BM164">
        <v>166</v>
      </c>
      <c r="BN164">
        <v>0</v>
      </c>
      <c r="BO164" t="s">
        <v>154</v>
      </c>
      <c r="BP164">
        <v>1</v>
      </c>
      <c r="BQ164">
        <v>30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6</v>
      </c>
      <c r="BZ164">
        <v>0</v>
      </c>
      <c r="CA164">
        <v>0</v>
      </c>
      <c r="CB164" t="s">
        <v>6</v>
      </c>
      <c r="CE164">
        <v>30</v>
      </c>
      <c r="CF164">
        <v>0</v>
      </c>
      <c r="CG164">
        <v>0</v>
      </c>
      <c r="CM164">
        <v>0</v>
      </c>
      <c r="CN164" t="s">
        <v>6</v>
      </c>
      <c r="CO164">
        <v>0</v>
      </c>
      <c r="CP164">
        <f t="shared" si="185"/>
        <v>79135.740000000005</v>
      </c>
      <c r="CQ164">
        <f t="shared" si="186"/>
        <v>52.26</v>
      </c>
      <c r="CR164">
        <f t="shared" si="187"/>
        <v>0</v>
      </c>
      <c r="CS164">
        <f t="shared" si="188"/>
        <v>0</v>
      </c>
      <c r="CT164">
        <f t="shared" si="189"/>
        <v>0</v>
      </c>
      <c r="CU164">
        <f t="shared" si="190"/>
        <v>0</v>
      </c>
      <c r="CV164">
        <f t="shared" si="191"/>
        <v>0</v>
      </c>
      <c r="CW164">
        <f t="shared" si="192"/>
        <v>0</v>
      </c>
      <c r="CX164">
        <f t="shared" si="193"/>
        <v>0</v>
      </c>
      <c r="CY164">
        <f>S164*(BZ164/100)</f>
        <v>0</v>
      </c>
      <c r="CZ164">
        <f>S164*(CA164/100)</f>
        <v>0</v>
      </c>
      <c r="DC164" t="s">
        <v>6</v>
      </c>
      <c r="DD164" t="s">
        <v>6</v>
      </c>
      <c r="DE164" t="s">
        <v>6</v>
      </c>
      <c r="DF164" t="s">
        <v>6</v>
      </c>
      <c r="DG164" t="s">
        <v>6</v>
      </c>
      <c r="DH164" t="s">
        <v>6</v>
      </c>
      <c r="DI164" t="s">
        <v>6</v>
      </c>
      <c r="DJ164" t="s">
        <v>6</v>
      </c>
      <c r="DK164" t="s">
        <v>6</v>
      </c>
      <c r="DL164" t="s">
        <v>6</v>
      </c>
      <c r="DM164" t="s">
        <v>6</v>
      </c>
      <c r="DN164">
        <v>161</v>
      </c>
      <c r="DO164">
        <v>107</v>
      </c>
      <c r="DP164">
        <v>1.0469999999999999</v>
      </c>
      <c r="DQ164">
        <v>1.002</v>
      </c>
      <c r="DU164">
        <v>1005</v>
      </c>
      <c r="DV164" t="s">
        <v>156</v>
      </c>
      <c r="DW164" t="s">
        <v>156</v>
      </c>
      <c r="DX164">
        <v>1</v>
      </c>
      <c r="DZ164" t="s">
        <v>6</v>
      </c>
      <c r="EA164" t="s">
        <v>6</v>
      </c>
      <c r="EB164" t="s">
        <v>6</v>
      </c>
      <c r="EC164" t="s">
        <v>6</v>
      </c>
      <c r="EE164">
        <v>69252791</v>
      </c>
      <c r="EF164">
        <v>30</v>
      </c>
      <c r="EG164" t="s">
        <v>29</v>
      </c>
      <c r="EH164">
        <v>0</v>
      </c>
      <c r="EI164" t="s">
        <v>6</v>
      </c>
      <c r="EJ164">
        <v>1</v>
      </c>
      <c r="EK164">
        <v>166</v>
      </c>
      <c r="EL164" t="s">
        <v>151</v>
      </c>
      <c r="EM164" t="s">
        <v>152</v>
      </c>
      <c r="EO164" t="s">
        <v>6</v>
      </c>
      <c r="EQ164">
        <v>0</v>
      </c>
      <c r="ER164">
        <v>13.87</v>
      </c>
      <c r="ES164">
        <v>13.87</v>
      </c>
      <c r="ET164">
        <v>0</v>
      </c>
      <c r="EU164">
        <v>0</v>
      </c>
      <c r="EV164">
        <v>0</v>
      </c>
      <c r="EW164">
        <v>0</v>
      </c>
      <c r="EX164">
        <v>0</v>
      </c>
      <c r="FQ164">
        <v>0</v>
      </c>
      <c r="FR164">
        <f t="shared" si="194"/>
        <v>0</v>
      </c>
      <c r="FS164">
        <v>0</v>
      </c>
      <c r="FX164">
        <v>161</v>
      </c>
      <c r="FY164">
        <v>107</v>
      </c>
      <c r="GA164" t="s">
        <v>6</v>
      </c>
      <c r="GD164">
        <v>0</v>
      </c>
      <c r="GF164">
        <v>95347054</v>
      </c>
      <c r="GG164">
        <v>2</v>
      </c>
      <c r="GH164">
        <v>1</v>
      </c>
      <c r="GI164">
        <v>2</v>
      </c>
      <c r="GJ164">
        <v>0</v>
      </c>
      <c r="GK164">
        <f>ROUND(R164*(S12)/100,2)</f>
        <v>0</v>
      </c>
      <c r="GL164">
        <f t="shared" si="195"/>
        <v>0</v>
      </c>
      <c r="GM164">
        <f t="shared" si="196"/>
        <v>79135.740000000005</v>
      </c>
      <c r="GN164">
        <f t="shared" si="197"/>
        <v>79135.740000000005</v>
      </c>
      <c r="GO164">
        <f t="shared" si="198"/>
        <v>0</v>
      </c>
      <c r="GP164">
        <f t="shared" si="199"/>
        <v>0</v>
      </c>
      <c r="GR164">
        <v>0</v>
      </c>
      <c r="GS164">
        <v>0</v>
      </c>
      <c r="GT164">
        <v>0</v>
      </c>
      <c r="GU164" t="s">
        <v>6</v>
      </c>
      <c r="GV164">
        <f t="shared" si="200"/>
        <v>0</v>
      </c>
      <c r="GW164">
        <v>1</v>
      </c>
      <c r="GX164">
        <f t="shared" si="201"/>
        <v>0</v>
      </c>
      <c r="HA164">
        <v>0</v>
      </c>
      <c r="HB164">
        <v>0</v>
      </c>
      <c r="HC164">
        <f t="shared" si="202"/>
        <v>0</v>
      </c>
      <c r="HE164" t="s">
        <v>6</v>
      </c>
      <c r="HF164" t="s">
        <v>6</v>
      </c>
      <c r="HM164" t="s">
        <v>6</v>
      </c>
      <c r="HN164" t="s">
        <v>6</v>
      </c>
      <c r="HO164" t="s">
        <v>6</v>
      </c>
      <c r="HP164" t="s">
        <v>6</v>
      </c>
      <c r="HQ164" t="s">
        <v>6</v>
      </c>
      <c r="IK164">
        <v>0</v>
      </c>
    </row>
    <row r="165" spans="1:255">
      <c r="A165" s="2">
        <v>18</v>
      </c>
      <c r="B165" s="2">
        <v>1</v>
      </c>
      <c r="C165" s="2"/>
      <c r="D165" s="2"/>
      <c r="E165" s="2" t="s">
        <v>189</v>
      </c>
      <c r="F165" s="2" t="s">
        <v>159</v>
      </c>
      <c r="G165" s="2" t="s">
        <v>160</v>
      </c>
      <c r="H165" s="2" t="s">
        <v>156</v>
      </c>
      <c r="I165" s="2">
        <f>I161*J165</f>
        <v>0</v>
      </c>
      <c r="J165" s="2">
        <v>0</v>
      </c>
      <c r="K165" s="2">
        <v>0</v>
      </c>
      <c r="L165" s="2"/>
      <c r="M165" s="2"/>
      <c r="N165" s="2"/>
      <c r="O165" s="2">
        <f t="shared" si="165"/>
        <v>0</v>
      </c>
      <c r="P165" s="2">
        <f t="shared" si="166"/>
        <v>0</v>
      </c>
      <c r="Q165" s="2">
        <f t="shared" si="167"/>
        <v>0</v>
      </c>
      <c r="R165" s="2">
        <f t="shared" si="168"/>
        <v>0</v>
      </c>
      <c r="S165" s="2">
        <f t="shared" si="169"/>
        <v>0</v>
      </c>
      <c r="T165" s="2">
        <f t="shared" si="170"/>
        <v>0</v>
      </c>
      <c r="U165" s="2">
        <f t="shared" si="171"/>
        <v>0</v>
      </c>
      <c r="V165" s="2">
        <f t="shared" si="172"/>
        <v>0</v>
      </c>
      <c r="W165" s="2">
        <f t="shared" si="173"/>
        <v>0</v>
      </c>
      <c r="X165" s="2">
        <f t="shared" si="174"/>
        <v>0</v>
      </c>
      <c r="Y165" s="2">
        <f t="shared" si="175"/>
        <v>0</v>
      </c>
      <c r="Z165" s="2"/>
      <c r="AA165" s="2">
        <v>70322058</v>
      </c>
      <c r="AB165" s="2">
        <f t="shared" si="176"/>
        <v>13.32</v>
      </c>
      <c r="AC165" s="2">
        <f t="shared" si="177"/>
        <v>13.32</v>
      </c>
      <c r="AD165" s="2">
        <f t="shared" si="178"/>
        <v>0</v>
      </c>
      <c r="AE165" s="2">
        <f t="shared" si="179"/>
        <v>0</v>
      </c>
      <c r="AF165" s="2">
        <f t="shared" si="180"/>
        <v>0</v>
      </c>
      <c r="AG165" s="2">
        <f t="shared" si="181"/>
        <v>0</v>
      </c>
      <c r="AH165" s="2">
        <f t="shared" si="182"/>
        <v>0</v>
      </c>
      <c r="AI165" s="2">
        <f t="shared" si="183"/>
        <v>0</v>
      </c>
      <c r="AJ165" s="2">
        <f t="shared" si="184"/>
        <v>0</v>
      </c>
      <c r="AK165" s="2">
        <v>13.32</v>
      </c>
      <c r="AL165" s="2">
        <v>13.32</v>
      </c>
      <c r="AM165" s="2">
        <v>0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161</v>
      </c>
      <c r="AU165" s="2">
        <v>107</v>
      </c>
      <c r="AV165" s="2">
        <v>1.0469999999999999</v>
      </c>
      <c r="AW165" s="2">
        <v>1.002</v>
      </c>
      <c r="AX165" s="2"/>
      <c r="AY165" s="2"/>
      <c r="AZ165" s="2">
        <v>1</v>
      </c>
      <c r="BA165" s="2">
        <v>1</v>
      </c>
      <c r="BB165" s="2">
        <v>1</v>
      </c>
      <c r="BC165" s="2">
        <v>1</v>
      </c>
      <c r="BD165" s="2" t="s">
        <v>6</v>
      </c>
      <c r="BE165" s="2" t="s">
        <v>6</v>
      </c>
      <c r="BF165" s="2" t="s">
        <v>6</v>
      </c>
      <c r="BG165" s="2" t="s">
        <v>6</v>
      </c>
      <c r="BH165" s="2">
        <v>3</v>
      </c>
      <c r="BI165" s="2">
        <v>1</v>
      </c>
      <c r="BJ165" s="2" t="s">
        <v>161</v>
      </c>
      <c r="BK165" s="2"/>
      <c r="BL165" s="2"/>
      <c r="BM165" s="2">
        <v>166</v>
      </c>
      <c r="BN165" s="2">
        <v>0</v>
      </c>
      <c r="BO165" s="2" t="s">
        <v>6</v>
      </c>
      <c r="BP165" s="2">
        <v>0</v>
      </c>
      <c r="BQ165" s="2">
        <v>30</v>
      </c>
      <c r="BR165" s="2">
        <v>0</v>
      </c>
      <c r="BS165" s="2">
        <v>1</v>
      </c>
      <c r="BT165" s="2">
        <v>1</v>
      </c>
      <c r="BU165" s="2">
        <v>1</v>
      </c>
      <c r="BV165" s="2">
        <v>1</v>
      </c>
      <c r="BW165" s="2">
        <v>1</v>
      </c>
      <c r="BX165" s="2">
        <v>1</v>
      </c>
      <c r="BY165" s="2" t="s">
        <v>6</v>
      </c>
      <c r="BZ165" s="2">
        <v>161</v>
      </c>
      <c r="CA165" s="2">
        <v>107</v>
      </c>
      <c r="CB165" s="2" t="s">
        <v>6</v>
      </c>
      <c r="CC165" s="2"/>
      <c r="CD165" s="2"/>
      <c r="CE165" s="2">
        <v>30</v>
      </c>
      <c r="CF165" s="2">
        <v>0</v>
      </c>
      <c r="CG165" s="2">
        <v>0</v>
      </c>
      <c r="CH165" s="2"/>
      <c r="CI165" s="2"/>
      <c r="CJ165" s="2"/>
      <c r="CK165" s="2"/>
      <c r="CL165" s="2"/>
      <c r="CM165" s="2">
        <v>0</v>
      </c>
      <c r="CN165" s="2" t="s">
        <v>6</v>
      </c>
      <c r="CO165" s="2">
        <v>0</v>
      </c>
      <c r="CP165" s="2">
        <f t="shared" si="185"/>
        <v>0</v>
      </c>
      <c r="CQ165" s="2">
        <f t="shared" si="186"/>
        <v>13.35</v>
      </c>
      <c r="CR165" s="2">
        <f t="shared" si="187"/>
        <v>0</v>
      </c>
      <c r="CS165" s="2">
        <f t="shared" si="188"/>
        <v>0</v>
      </c>
      <c r="CT165" s="2">
        <f t="shared" si="189"/>
        <v>0</v>
      </c>
      <c r="CU165" s="2">
        <f t="shared" si="190"/>
        <v>0</v>
      </c>
      <c r="CV165" s="2">
        <f t="shared" si="191"/>
        <v>0</v>
      </c>
      <c r="CW165" s="2">
        <f t="shared" si="192"/>
        <v>0</v>
      </c>
      <c r="CX165" s="2">
        <f t="shared" si="193"/>
        <v>0</v>
      </c>
      <c r="CY165" s="2">
        <f>((S165*BZ165)/100)</f>
        <v>0</v>
      </c>
      <c r="CZ165" s="2">
        <f>((S165*CA165)/100)</f>
        <v>0</v>
      </c>
      <c r="DA165" s="2"/>
      <c r="DB165" s="2"/>
      <c r="DC165" s="2" t="s">
        <v>6</v>
      </c>
      <c r="DD165" s="2" t="s">
        <v>6</v>
      </c>
      <c r="DE165" s="2" t="s">
        <v>6</v>
      </c>
      <c r="DF165" s="2" t="s">
        <v>6</v>
      </c>
      <c r="DG165" s="2" t="s">
        <v>6</v>
      </c>
      <c r="DH165" s="2" t="s">
        <v>6</v>
      </c>
      <c r="DI165" s="2" t="s">
        <v>6</v>
      </c>
      <c r="DJ165" s="2" t="s">
        <v>6</v>
      </c>
      <c r="DK165" s="2" t="s">
        <v>6</v>
      </c>
      <c r="DL165" s="2" t="s">
        <v>6</v>
      </c>
      <c r="DM165" s="2" t="s">
        <v>6</v>
      </c>
      <c r="DN165" s="2">
        <v>0</v>
      </c>
      <c r="DO165" s="2">
        <v>0</v>
      </c>
      <c r="DP165" s="2">
        <v>1</v>
      </c>
      <c r="DQ165" s="2">
        <v>1</v>
      </c>
      <c r="DR165" s="2"/>
      <c r="DS165" s="2"/>
      <c r="DT165" s="2"/>
      <c r="DU165" s="2">
        <v>1005</v>
      </c>
      <c r="DV165" s="2" t="s">
        <v>156</v>
      </c>
      <c r="DW165" s="2" t="s">
        <v>156</v>
      </c>
      <c r="DX165" s="2">
        <v>1</v>
      </c>
      <c r="DY165" s="2"/>
      <c r="DZ165" s="2" t="s">
        <v>6</v>
      </c>
      <c r="EA165" s="2" t="s">
        <v>6</v>
      </c>
      <c r="EB165" s="2" t="s">
        <v>6</v>
      </c>
      <c r="EC165" s="2" t="s">
        <v>6</v>
      </c>
      <c r="ED165" s="2"/>
      <c r="EE165" s="2">
        <v>69252791</v>
      </c>
      <c r="EF165" s="2">
        <v>30</v>
      </c>
      <c r="EG165" s="2" t="s">
        <v>29</v>
      </c>
      <c r="EH165" s="2">
        <v>0</v>
      </c>
      <c r="EI165" s="2" t="s">
        <v>6</v>
      </c>
      <c r="EJ165" s="2">
        <v>1</v>
      </c>
      <c r="EK165" s="2">
        <v>166</v>
      </c>
      <c r="EL165" s="2" t="s">
        <v>151</v>
      </c>
      <c r="EM165" s="2" t="s">
        <v>152</v>
      </c>
      <c r="EN165" s="2"/>
      <c r="EO165" s="2" t="s">
        <v>6</v>
      </c>
      <c r="EP165" s="2"/>
      <c r="EQ165" s="2">
        <v>0</v>
      </c>
      <c r="ER165" s="2">
        <v>13.32</v>
      </c>
      <c r="ES165" s="2">
        <v>13.32</v>
      </c>
      <c r="ET165" s="2">
        <v>0</v>
      </c>
      <c r="EU165" s="2">
        <v>0</v>
      </c>
      <c r="EV165" s="2">
        <v>0</v>
      </c>
      <c r="EW165" s="2">
        <v>0</v>
      </c>
      <c r="EX165" s="2">
        <v>0</v>
      </c>
      <c r="EY165" s="2"/>
      <c r="EZ165" s="2"/>
      <c r="FA165" s="2"/>
      <c r="FB165" s="2"/>
      <c r="FC165" s="2"/>
      <c r="FD165" s="2"/>
      <c r="FE165" s="2"/>
      <c r="FF165" s="2"/>
      <c r="FG165" s="2"/>
      <c r="FH165" s="2"/>
      <c r="FI165" s="2"/>
      <c r="FJ165" s="2"/>
      <c r="FK165" s="2"/>
      <c r="FL165" s="2"/>
      <c r="FM165" s="2"/>
      <c r="FN165" s="2"/>
      <c r="FO165" s="2"/>
      <c r="FP165" s="2"/>
      <c r="FQ165" s="2">
        <v>0</v>
      </c>
      <c r="FR165" s="2">
        <f t="shared" si="194"/>
        <v>0</v>
      </c>
      <c r="FS165" s="2">
        <v>0</v>
      </c>
      <c r="FT165" s="2"/>
      <c r="FU165" s="2"/>
      <c r="FV165" s="2"/>
      <c r="FW165" s="2"/>
      <c r="FX165" s="2">
        <v>161</v>
      </c>
      <c r="FY165" s="2">
        <v>107</v>
      </c>
      <c r="FZ165" s="2"/>
      <c r="GA165" s="2" t="s">
        <v>6</v>
      </c>
      <c r="GB165" s="2"/>
      <c r="GC165" s="2"/>
      <c r="GD165" s="2">
        <v>0</v>
      </c>
      <c r="GE165" s="2"/>
      <c r="GF165" s="2">
        <v>472521045</v>
      </c>
      <c r="GG165" s="2">
        <v>2</v>
      </c>
      <c r="GH165" s="2">
        <v>1</v>
      </c>
      <c r="GI165" s="2">
        <v>-2</v>
      </c>
      <c r="GJ165" s="2">
        <v>0</v>
      </c>
      <c r="GK165" s="2">
        <f>ROUND(R165*(R12)/100,2)</f>
        <v>0</v>
      </c>
      <c r="GL165" s="2">
        <f t="shared" si="195"/>
        <v>0</v>
      </c>
      <c r="GM165" s="2">
        <f t="shared" si="196"/>
        <v>0</v>
      </c>
      <c r="GN165" s="2">
        <f t="shared" si="197"/>
        <v>0</v>
      </c>
      <c r="GO165" s="2">
        <f t="shared" si="198"/>
        <v>0</v>
      </c>
      <c r="GP165" s="2">
        <f t="shared" si="199"/>
        <v>0</v>
      </c>
      <c r="GQ165" s="2"/>
      <c r="GR165" s="2">
        <v>0</v>
      </c>
      <c r="GS165" s="2">
        <v>3</v>
      </c>
      <c r="GT165" s="2">
        <v>0</v>
      </c>
      <c r="GU165" s="2" t="s">
        <v>6</v>
      </c>
      <c r="GV165" s="2">
        <f t="shared" si="200"/>
        <v>0</v>
      </c>
      <c r="GW165" s="2">
        <v>1</v>
      </c>
      <c r="GX165" s="2">
        <f t="shared" si="201"/>
        <v>0</v>
      </c>
      <c r="GY165" s="2"/>
      <c r="GZ165" s="2"/>
      <c r="HA165" s="2">
        <v>0</v>
      </c>
      <c r="HB165" s="2">
        <v>0</v>
      </c>
      <c r="HC165" s="2">
        <f t="shared" si="202"/>
        <v>0</v>
      </c>
      <c r="HD165" s="2"/>
      <c r="HE165" s="2" t="s">
        <v>6</v>
      </c>
      <c r="HF165" s="2" t="s">
        <v>6</v>
      </c>
      <c r="HG165" s="2"/>
      <c r="HH165" s="2"/>
      <c r="HI165" s="2"/>
      <c r="HJ165" s="2"/>
      <c r="HK165" s="2"/>
      <c r="HL165" s="2"/>
      <c r="HM165" s="2" t="s">
        <v>6</v>
      </c>
      <c r="HN165" s="2" t="s">
        <v>6</v>
      </c>
      <c r="HO165" s="2" t="s">
        <v>6</v>
      </c>
      <c r="HP165" s="2" t="s">
        <v>6</v>
      </c>
      <c r="HQ165" s="2" t="s">
        <v>6</v>
      </c>
      <c r="HR165" s="2"/>
      <c r="HS165" s="2"/>
      <c r="HT165" s="2"/>
      <c r="HU165" s="2"/>
      <c r="HV165" s="2"/>
      <c r="HW165" s="2"/>
      <c r="HX165" s="2"/>
      <c r="HY165" s="2"/>
      <c r="HZ165" s="2"/>
      <c r="IA165" s="2"/>
      <c r="IB165" s="2"/>
      <c r="IC165" s="2"/>
      <c r="ID165" s="2"/>
      <c r="IE165" s="2"/>
      <c r="IF165" s="2"/>
      <c r="IG165" s="2"/>
      <c r="IH165" s="2"/>
      <c r="II165" s="2"/>
      <c r="IJ165" s="2"/>
      <c r="IK165" s="2">
        <v>0</v>
      </c>
      <c r="IL165" s="2"/>
      <c r="IM165" s="2"/>
      <c r="IN165" s="2"/>
      <c r="IO165" s="2"/>
      <c r="IP165" s="2"/>
      <c r="IQ165" s="2"/>
      <c r="IR165" s="2"/>
      <c r="IS165" s="2"/>
      <c r="IT165" s="2"/>
      <c r="IU165" s="2"/>
    </row>
    <row r="166" spans="1:255">
      <c r="A166">
        <v>18</v>
      </c>
      <c r="B166">
        <v>1</v>
      </c>
      <c r="E166" t="s">
        <v>189</v>
      </c>
      <c r="F166" t="s">
        <v>159</v>
      </c>
      <c r="G166" t="s">
        <v>160</v>
      </c>
      <c r="H166" t="s">
        <v>156</v>
      </c>
      <c r="I166">
        <f>I162*J166</f>
        <v>0</v>
      </c>
      <c r="J166">
        <v>0</v>
      </c>
      <c r="K166">
        <v>0</v>
      </c>
      <c r="O166">
        <f t="shared" si="165"/>
        <v>0</v>
      </c>
      <c r="P166">
        <f t="shared" si="166"/>
        <v>0</v>
      </c>
      <c r="Q166">
        <f t="shared" si="167"/>
        <v>0</v>
      </c>
      <c r="R166">
        <f t="shared" si="168"/>
        <v>0</v>
      </c>
      <c r="S166">
        <f t="shared" si="169"/>
        <v>0</v>
      </c>
      <c r="T166">
        <f t="shared" si="170"/>
        <v>0</v>
      </c>
      <c r="U166">
        <f t="shared" si="171"/>
        <v>0</v>
      </c>
      <c r="V166">
        <f t="shared" si="172"/>
        <v>0</v>
      </c>
      <c r="W166">
        <f t="shared" si="173"/>
        <v>0</v>
      </c>
      <c r="X166">
        <f t="shared" si="174"/>
        <v>0</v>
      </c>
      <c r="Y166">
        <f t="shared" si="175"/>
        <v>0</v>
      </c>
      <c r="AA166">
        <v>70322059</v>
      </c>
      <c r="AB166">
        <f t="shared" si="176"/>
        <v>13.32</v>
      </c>
      <c r="AC166">
        <f t="shared" si="177"/>
        <v>13.32</v>
      </c>
      <c r="AD166">
        <f t="shared" si="178"/>
        <v>0</v>
      </c>
      <c r="AE166">
        <f t="shared" si="179"/>
        <v>0</v>
      </c>
      <c r="AF166">
        <f t="shared" si="180"/>
        <v>0</v>
      </c>
      <c r="AG166">
        <f t="shared" si="181"/>
        <v>0</v>
      </c>
      <c r="AH166">
        <f t="shared" si="182"/>
        <v>0</v>
      </c>
      <c r="AI166">
        <f t="shared" si="183"/>
        <v>0</v>
      </c>
      <c r="AJ166">
        <f t="shared" si="184"/>
        <v>0</v>
      </c>
      <c r="AK166">
        <v>13.32</v>
      </c>
      <c r="AL166">
        <v>13.32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1.0469999999999999</v>
      </c>
      <c r="AW166">
        <v>1.002</v>
      </c>
      <c r="AZ166">
        <v>1</v>
      </c>
      <c r="BA166">
        <v>1</v>
      </c>
      <c r="BB166">
        <v>1</v>
      </c>
      <c r="BC166">
        <v>3.28</v>
      </c>
      <c r="BD166" t="s">
        <v>6</v>
      </c>
      <c r="BE166" t="s">
        <v>6</v>
      </c>
      <c r="BF166" t="s">
        <v>6</v>
      </c>
      <c r="BG166" t="s">
        <v>6</v>
      </c>
      <c r="BH166">
        <v>3</v>
      </c>
      <c r="BI166">
        <v>1</v>
      </c>
      <c r="BJ166" t="s">
        <v>161</v>
      </c>
      <c r="BM166">
        <v>166</v>
      </c>
      <c r="BN166">
        <v>0</v>
      </c>
      <c r="BO166" t="s">
        <v>159</v>
      </c>
      <c r="BP166">
        <v>1</v>
      </c>
      <c r="BQ166">
        <v>30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6</v>
      </c>
      <c r="BZ166">
        <v>0</v>
      </c>
      <c r="CA166">
        <v>0</v>
      </c>
      <c r="CB166" t="s">
        <v>6</v>
      </c>
      <c r="CE166">
        <v>30</v>
      </c>
      <c r="CF166">
        <v>0</v>
      </c>
      <c r="CG166">
        <v>0</v>
      </c>
      <c r="CM166">
        <v>0</v>
      </c>
      <c r="CN166" t="s">
        <v>6</v>
      </c>
      <c r="CO166">
        <v>0</v>
      </c>
      <c r="CP166">
        <f t="shared" si="185"/>
        <v>0</v>
      </c>
      <c r="CQ166">
        <f t="shared" si="186"/>
        <v>43.79</v>
      </c>
      <c r="CR166">
        <f t="shared" si="187"/>
        <v>0</v>
      </c>
      <c r="CS166">
        <f t="shared" si="188"/>
        <v>0</v>
      </c>
      <c r="CT166">
        <f t="shared" si="189"/>
        <v>0</v>
      </c>
      <c r="CU166">
        <f t="shared" si="190"/>
        <v>0</v>
      </c>
      <c r="CV166">
        <f t="shared" si="191"/>
        <v>0</v>
      </c>
      <c r="CW166">
        <f t="shared" si="192"/>
        <v>0</v>
      </c>
      <c r="CX166">
        <f t="shared" si="193"/>
        <v>0</v>
      </c>
      <c r="CY166">
        <f>S166*(BZ166/100)</f>
        <v>0</v>
      </c>
      <c r="CZ166">
        <f>S166*(CA166/100)</f>
        <v>0</v>
      </c>
      <c r="DC166" t="s">
        <v>6</v>
      </c>
      <c r="DD166" t="s">
        <v>6</v>
      </c>
      <c r="DE166" t="s">
        <v>6</v>
      </c>
      <c r="DF166" t="s">
        <v>6</v>
      </c>
      <c r="DG166" t="s">
        <v>6</v>
      </c>
      <c r="DH166" t="s">
        <v>6</v>
      </c>
      <c r="DI166" t="s">
        <v>6</v>
      </c>
      <c r="DJ166" t="s">
        <v>6</v>
      </c>
      <c r="DK166" t="s">
        <v>6</v>
      </c>
      <c r="DL166" t="s">
        <v>6</v>
      </c>
      <c r="DM166" t="s">
        <v>6</v>
      </c>
      <c r="DN166">
        <v>161</v>
      </c>
      <c r="DO166">
        <v>107</v>
      </c>
      <c r="DP166">
        <v>1.0469999999999999</v>
      </c>
      <c r="DQ166">
        <v>1.002</v>
      </c>
      <c r="DU166">
        <v>1005</v>
      </c>
      <c r="DV166" t="s">
        <v>156</v>
      </c>
      <c r="DW166" t="s">
        <v>156</v>
      </c>
      <c r="DX166">
        <v>1</v>
      </c>
      <c r="DZ166" t="s">
        <v>6</v>
      </c>
      <c r="EA166" t="s">
        <v>6</v>
      </c>
      <c r="EB166" t="s">
        <v>6</v>
      </c>
      <c r="EC166" t="s">
        <v>6</v>
      </c>
      <c r="EE166">
        <v>69252791</v>
      </c>
      <c r="EF166">
        <v>30</v>
      </c>
      <c r="EG166" t="s">
        <v>29</v>
      </c>
      <c r="EH166">
        <v>0</v>
      </c>
      <c r="EI166" t="s">
        <v>6</v>
      </c>
      <c r="EJ166">
        <v>1</v>
      </c>
      <c r="EK166">
        <v>166</v>
      </c>
      <c r="EL166" t="s">
        <v>151</v>
      </c>
      <c r="EM166" t="s">
        <v>152</v>
      </c>
      <c r="EO166" t="s">
        <v>6</v>
      </c>
      <c r="EQ166">
        <v>0</v>
      </c>
      <c r="ER166">
        <v>13.32</v>
      </c>
      <c r="ES166">
        <v>13.32</v>
      </c>
      <c r="ET166">
        <v>0</v>
      </c>
      <c r="EU166">
        <v>0</v>
      </c>
      <c r="EV166">
        <v>0</v>
      </c>
      <c r="EW166">
        <v>0</v>
      </c>
      <c r="EX166">
        <v>0</v>
      </c>
      <c r="FQ166">
        <v>0</v>
      </c>
      <c r="FR166">
        <f t="shared" si="194"/>
        <v>0</v>
      </c>
      <c r="FS166">
        <v>0</v>
      </c>
      <c r="FX166">
        <v>161</v>
      </c>
      <c r="FY166">
        <v>107</v>
      </c>
      <c r="GA166" t="s">
        <v>6</v>
      </c>
      <c r="GD166">
        <v>0</v>
      </c>
      <c r="GF166">
        <v>472521045</v>
      </c>
      <c r="GG166">
        <v>2</v>
      </c>
      <c r="GH166">
        <v>1</v>
      </c>
      <c r="GI166">
        <v>2</v>
      </c>
      <c r="GJ166">
        <v>0</v>
      </c>
      <c r="GK166">
        <f>ROUND(R166*(S12)/100,2)</f>
        <v>0</v>
      </c>
      <c r="GL166">
        <f t="shared" si="195"/>
        <v>0</v>
      </c>
      <c r="GM166">
        <f t="shared" si="196"/>
        <v>0</v>
      </c>
      <c r="GN166">
        <f t="shared" si="197"/>
        <v>0</v>
      </c>
      <c r="GO166">
        <f t="shared" si="198"/>
        <v>0</v>
      </c>
      <c r="GP166">
        <f t="shared" si="199"/>
        <v>0</v>
      </c>
      <c r="GR166">
        <v>0</v>
      </c>
      <c r="GS166">
        <v>0</v>
      </c>
      <c r="GT166">
        <v>0</v>
      </c>
      <c r="GU166" t="s">
        <v>6</v>
      </c>
      <c r="GV166">
        <f t="shared" si="200"/>
        <v>0</v>
      </c>
      <c r="GW166">
        <v>1</v>
      </c>
      <c r="GX166">
        <f t="shared" si="201"/>
        <v>0</v>
      </c>
      <c r="HA166">
        <v>0</v>
      </c>
      <c r="HB166">
        <v>0</v>
      </c>
      <c r="HC166">
        <f t="shared" si="202"/>
        <v>0</v>
      </c>
      <c r="HE166" t="s">
        <v>6</v>
      </c>
      <c r="HF166" t="s">
        <v>6</v>
      </c>
      <c r="HM166" t="s">
        <v>6</v>
      </c>
      <c r="HN166" t="s">
        <v>6</v>
      </c>
      <c r="HO166" t="s">
        <v>6</v>
      </c>
      <c r="HP166" t="s">
        <v>6</v>
      </c>
      <c r="HQ166" t="s">
        <v>6</v>
      </c>
      <c r="IK166">
        <v>0</v>
      </c>
    </row>
    <row r="167" spans="1:255">
      <c r="A167" s="2">
        <v>17</v>
      </c>
      <c r="B167" s="2">
        <v>1</v>
      </c>
      <c r="C167" s="2"/>
      <c r="D167" s="2"/>
      <c r="E167" s="2" t="s">
        <v>190</v>
      </c>
      <c r="F167" s="2" t="s">
        <v>191</v>
      </c>
      <c r="G167" s="2" t="s">
        <v>192</v>
      </c>
      <c r="H167" s="2" t="s">
        <v>193</v>
      </c>
      <c r="I167" s="2">
        <f>ROUND((1514.4)/1000,9)</f>
        <v>1.5144</v>
      </c>
      <c r="J167" s="2">
        <v>0</v>
      </c>
      <c r="K167" s="2">
        <f>ROUND((1514.4)/1000,9)</f>
        <v>1.5144</v>
      </c>
      <c r="L167" s="2"/>
      <c r="M167" s="2"/>
      <c r="N167" s="2"/>
      <c r="O167" s="2">
        <f t="shared" si="165"/>
        <v>18268.27</v>
      </c>
      <c r="P167" s="2">
        <f t="shared" si="166"/>
        <v>10231.75</v>
      </c>
      <c r="Q167" s="2">
        <f t="shared" si="167"/>
        <v>3180.71</v>
      </c>
      <c r="R167" s="2">
        <f t="shared" si="168"/>
        <v>259.20999999999998</v>
      </c>
      <c r="S167" s="2">
        <f t="shared" si="169"/>
        <v>4855.8100000000004</v>
      </c>
      <c r="T167" s="2">
        <f t="shared" si="170"/>
        <v>0</v>
      </c>
      <c r="U167" s="2">
        <f t="shared" si="171"/>
        <v>423.34900559999994</v>
      </c>
      <c r="V167" s="2">
        <f t="shared" si="172"/>
        <v>0</v>
      </c>
      <c r="W167" s="2">
        <f t="shared" si="173"/>
        <v>0</v>
      </c>
      <c r="X167" s="2">
        <f t="shared" si="174"/>
        <v>7817.85</v>
      </c>
      <c r="Y167" s="2">
        <f t="shared" si="175"/>
        <v>5195.72</v>
      </c>
      <c r="Z167" s="2"/>
      <c r="AA167" s="2">
        <v>70322058</v>
      </c>
      <c r="AB167" s="2">
        <f t="shared" si="176"/>
        <v>11811.34</v>
      </c>
      <c r="AC167" s="2">
        <f t="shared" si="177"/>
        <v>6742.82</v>
      </c>
      <c r="AD167" s="2">
        <f t="shared" si="178"/>
        <v>2006.03</v>
      </c>
      <c r="AE167" s="2">
        <f t="shared" si="179"/>
        <v>163.47999999999999</v>
      </c>
      <c r="AF167" s="2">
        <f t="shared" si="180"/>
        <v>3062.49</v>
      </c>
      <c r="AG167" s="2">
        <f t="shared" si="181"/>
        <v>0</v>
      </c>
      <c r="AH167" s="2">
        <f t="shared" si="182"/>
        <v>267</v>
      </c>
      <c r="AI167" s="2">
        <f t="shared" si="183"/>
        <v>0</v>
      </c>
      <c r="AJ167" s="2">
        <f t="shared" si="184"/>
        <v>0</v>
      </c>
      <c r="AK167" s="2">
        <v>11811.34</v>
      </c>
      <c r="AL167" s="2">
        <v>6742.82</v>
      </c>
      <c r="AM167" s="2">
        <v>2006.03</v>
      </c>
      <c r="AN167" s="2">
        <v>163.47999999999999</v>
      </c>
      <c r="AO167" s="2">
        <v>3062.49</v>
      </c>
      <c r="AP167" s="2">
        <v>0</v>
      </c>
      <c r="AQ167" s="2">
        <v>267</v>
      </c>
      <c r="AR167" s="2">
        <v>0</v>
      </c>
      <c r="AS167" s="2">
        <v>0</v>
      </c>
      <c r="AT167" s="2">
        <v>161</v>
      </c>
      <c r="AU167" s="2">
        <v>107</v>
      </c>
      <c r="AV167" s="2">
        <v>1.0469999999999999</v>
      </c>
      <c r="AW167" s="2">
        <v>1.002</v>
      </c>
      <c r="AX167" s="2"/>
      <c r="AY167" s="2"/>
      <c r="AZ167" s="2">
        <v>1</v>
      </c>
      <c r="BA167" s="2">
        <v>1</v>
      </c>
      <c r="BB167" s="2">
        <v>1</v>
      </c>
      <c r="BC167" s="2">
        <v>1</v>
      </c>
      <c r="BD167" s="2" t="s">
        <v>6</v>
      </c>
      <c r="BE167" s="2" t="s">
        <v>6</v>
      </c>
      <c r="BF167" s="2" t="s">
        <v>6</v>
      </c>
      <c r="BG167" s="2" t="s">
        <v>6</v>
      </c>
      <c r="BH167" s="2">
        <v>0</v>
      </c>
      <c r="BI167" s="2">
        <v>1</v>
      </c>
      <c r="BJ167" s="2" t="s">
        <v>194</v>
      </c>
      <c r="BK167" s="2"/>
      <c r="BL167" s="2"/>
      <c r="BM167" s="2">
        <v>152</v>
      </c>
      <c r="BN167" s="2">
        <v>0</v>
      </c>
      <c r="BO167" s="2" t="s">
        <v>6</v>
      </c>
      <c r="BP167" s="2">
        <v>0</v>
      </c>
      <c r="BQ167" s="2">
        <v>30</v>
      </c>
      <c r="BR167" s="2">
        <v>0</v>
      </c>
      <c r="BS167" s="2">
        <v>1</v>
      </c>
      <c r="BT167" s="2">
        <v>1</v>
      </c>
      <c r="BU167" s="2">
        <v>1</v>
      </c>
      <c r="BV167" s="2">
        <v>1</v>
      </c>
      <c r="BW167" s="2">
        <v>1</v>
      </c>
      <c r="BX167" s="2">
        <v>1</v>
      </c>
      <c r="BY167" s="2" t="s">
        <v>6</v>
      </c>
      <c r="BZ167" s="2">
        <v>161</v>
      </c>
      <c r="CA167" s="2">
        <v>107</v>
      </c>
      <c r="CB167" s="2" t="s">
        <v>6</v>
      </c>
      <c r="CC167" s="2"/>
      <c r="CD167" s="2"/>
      <c r="CE167" s="2">
        <v>30</v>
      </c>
      <c r="CF167" s="2">
        <v>0</v>
      </c>
      <c r="CG167" s="2">
        <v>0</v>
      </c>
      <c r="CH167" s="2"/>
      <c r="CI167" s="2"/>
      <c r="CJ167" s="2"/>
      <c r="CK167" s="2"/>
      <c r="CL167" s="2"/>
      <c r="CM167" s="2">
        <v>0</v>
      </c>
      <c r="CN167" s="2" t="s">
        <v>6</v>
      </c>
      <c r="CO167" s="2">
        <v>0</v>
      </c>
      <c r="CP167" s="2">
        <f t="shared" si="185"/>
        <v>18268.27</v>
      </c>
      <c r="CQ167" s="2">
        <f t="shared" si="186"/>
        <v>6756.31</v>
      </c>
      <c r="CR167" s="2">
        <f t="shared" si="187"/>
        <v>2100.31</v>
      </c>
      <c r="CS167" s="2">
        <f t="shared" si="188"/>
        <v>171.16</v>
      </c>
      <c r="CT167" s="2">
        <f t="shared" si="189"/>
        <v>3206.43</v>
      </c>
      <c r="CU167" s="2">
        <f t="shared" si="190"/>
        <v>0</v>
      </c>
      <c r="CV167" s="2">
        <f t="shared" si="191"/>
        <v>279.54899999999998</v>
      </c>
      <c r="CW167" s="2">
        <f t="shared" si="192"/>
        <v>0</v>
      </c>
      <c r="CX167" s="2">
        <f t="shared" si="193"/>
        <v>0</v>
      </c>
      <c r="CY167" s="2">
        <f>((S167*BZ167)/100)</f>
        <v>7817.8541000000005</v>
      </c>
      <c r="CZ167" s="2">
        <f>((S167*CA167)/100)</f>
        <v>5195.7167000000009</v>
      </c>
      <c r="DA167" s="2"/>
      <c r="DB167" s="2"/>
      <c r="DC167" s="2" t="s">
        <v>6</v>
      </c>
      <c r="DD167" s="2" t="s">
        <v>6</v>
      </c>
      <c r="DE167" s="2" t="s">
        <v>6</v>
      </c>
      <c r="DF167" s="2" t="s">
        <v>6</v>
      </c>
      <c r="DG167" s="2" t="s">
        <v>6</v>
      </c>
      <c r="DH167" s="2" t="s">
        <v>6</v>
      </c>
      <c r="DI167" s="2" t="s">
        <v>6</v>
      </c>
      <c r="DJ167" s="2" t="s">
        <v>6</v>
      </c>
      <c r="DK167" s="2" t="s">
        <v>6</v>
      </c>
      <c r="DL167" s="2" t="s">
        <v>6</v>
      </c>
      <c r="DM167" s="2" t="s">
        <v>6</v>
      </c>
      <c r="DN167" s="2">
        <v>0</v>
      </c>
      <c r="DO167" s="2">
        <v>0</v>
      </c>
      <c r="DP167" s="2">
        <v>1</v>
      </c>
      <c r="DQ167" s="2">
        <v>1</v>
      </c>
      <c r="DR167" s="2"/>
      <c r="DS167" s="2"/>
      <c r="DT167" s="2"/>
      <c r="DU167" s="2">
        <v>1013</v>
      </c>
      <c r="DV167" s="2" t="s">
        <v>193</v>
      </c>
      <c r="DW167" s="2" t="s">
        <v>193</v>
      </c>
      <c r="DX167" s="2">
        <v>1</v>
      </c>
      <c r="DY167" s="2"/>
      <c r="DZ167" s="2" t="s">
        <v>6</v>
      </c>
      <c r="EA167" s="2" t="s">
        <v>6</v>
      </c>
      <c r="EB167" s="2" t="s">
        <v>6</v>
      </c>
      <c r="EC167" s="2" t="s">
        <v>6</v>
      </c>
      <c r="ED167" s="2"/>
      <c r="EE167" s="2">
        <v>69252777</v>
      </c>
      <c r="EF167" s="2">
        <v>30</v>
      </c>
      <c r="EG167" s="2" t="s">
        <v>29</v>
      </c>
      <c r="EH167" s="2">
        <v>0</v>
      </c>
      <c r="EI167" s="2" t="s">
        <v>6</v>
      </c>
      <c r="EJ167" s="2">
        <v>1</v>
      </c>
      <c r="EK167" s="2">
        <v>152</v>
      </c>
      <c r="EL167" s="2" t="s">
        <v>195</v>
      </c>
      <c r="EM167" s="2" t="s">
        <v>196</v>
      </c>
      <c r="EN167" s="2"/>
      <c r="EO167" s="2" t="s">
        <v>6</v>
      </c>
      <c r="EP167" s="2"/>
      <c r="EQ167" s="2">
        <v>0</v>
      </c>
      <c r="ER167" s="2">
        <v>11811.34</v>
      </c>
      <c r="ES167" s="2">
        <v>6742.82</v>
      </c>
      <c r="ET167" s="2">
        <v>2006.03</v>
      </c>
      <c r="EU167" s="2">
        <v>163.47999999999999</v>
      </c>
      <c r="EV167" s="2">
        <v>3062.49</v>
      </c>
      <c r="EW167" s="2">
        <v>267</v>
      </c>
      <c r="EX167" s="2">
        <v>0</v>
      </c>
      <c r="EY167" s="2">
        <v>0</v>
      </c>
      <c r="EZ167" s="2"/>
      <c r="FA167" s="2"/>
      <c r="FB167" s="2"/>
      <c r="FC167" s="2"/>
      <c r="FD167" s="2"/>
      <c r="FE167" s="2"/>
      <c r="FF167" s="2"/>
      <c r="FG167" s="2"/>
      <c r="FH167" s="2"/>
      <c r="FI167" s="2"/>
      <c r="FJ167" s="2"/>
      <c r="FK167" s="2"/>
      <c r="FL167" s="2"/>
      <c r="FM167" s="2"/>
      <c r="FN167" s="2"/>
      <c r="FO167" s="2"/>
      <c r="FP167" s="2"/>
      <c r="FQ167" s="2">
        <v>0</v>
      </c>
      <c r="FR167" s="2">
        <f t="shared" si="194"/>
        <v>0</v>
      </c>
      <c r="FS167" s="2">
        <v>0</v>
      </c>
      <c r="FT167" s="2"/>
      <c r="FU167" s="2"/>
      <c r="FV167" s="2"/>
      <c r="FW167" s="2"/>
      <c r="FX167" s="2">
        <v>161</v>
      </c>
      <c r="FY167" s="2">
        <v>107</v>
      </c>
      <c r="FZ167" s="2"/>
      <c r="GA167" s="2" t="s">
        <v>6</v>
      </c>
      <c r="GB167" s="2"/>
      <c r="GC167" s="2"/>
      <c r="GD167" s="2">
        <v>0</v>
      </c>
      <c r="GE167" s="2"/>
      <c r="GF167" s="2">
        <v>-1435671642</v>
      </c>
      <c r="GG167" s="2">
        <v>2</v>
      </c>
      <c r="GH167" s="2">
        <v>1</v>
      </c>
      <c r="GI167" s="2">
        <v>-2</v>
      </c>
      <c r="GJ167" s="2">
        <v>0</v>
      </c>
      <c r="GK167" s="2">
        <f>ROUND(R167*(R12)/100,2)</f>
        <v>453.62</v>
      </c>
      <c r="GL167" s="2">
        <f t="shared" si="195"/>
        <v>0</v>
      </c>
      <c r="GM167" s="2">
        <f t="shared" si="196"/>
        <v>31735.46</v>
      </c>
      <c r="GN167" s="2">
        <f t="shared" si="197"/>
        <v>31735.46</v>
      </c>
      <c r="GO167" s="2">
        <f t="shared" si="198"/>
        <v>0</v>
      </c>
      <c r="GP167" s="2">
        <f t="shared" si="199"/>
        <v>0</v>
      </c>
      <c r="GQ167" s="2"/>
      <c r="GR167" s="2">
        <v>0</v>
      </c>
      <c r="GS167" s="2">
        <v>3</v>
      </c>
      <c r="GT167" s="2">
        <v>0</v>
      </c>
      <c r="GU167" s="2" t="s">
        <v>6</v>
      </c>
      <c r="GV167" s="2">
        <f t="shared" si="200"/>
        <v>0</v>
      </c>
      <c r="GW167" s="2">
        <v>1</v>
      </c>
      <c r="GX167" s="2">
        <f t="shared" si="201"/>
        <v>0</v>
      </c>
      <c r="GY167" s="2"/>
      <c r="GZ167" s="2"/>
      <c r="HA167" s="2">
        <v>0</v>
      </c>
      <c r="HB167" s="2">
        <v>0</v>
      </c>
      <c r="HC167" s="2">
        <f t="shared" si="202"/>
        <v>0</v>
      </c>
      <c r="HD167" s="2"/>
      <c r="HE167" s="2" t="s">
        <v>6</v>
      </c>
      <c r="HF167" s="2" t="s">
        <v>6</v>
      </c>
      <c r="HG167" s="2"/>
      <c r="HH167" s="2"/>
      <c r="HI167" s="2"/>
      <c r="HJ167" s="2"/>
      <c r="HK167" s="2"/>
      <c r="HL167" s="2"/>
      <c r="HM167" s="2" t="s">
        <v>6</v>
      </c>
      <c r="HN167" s="2" t="s">
        <v>6</v>
      </c>
      <c r="HO167" s="2" t="s">
        <v>6</v>
      </c>
      <c r="HP167" s="2" t="s">
        <v>6</v>
      </c>
      <c r="HQ167" s="2" t="s">
        <v>6</v>
      </c>
      <c r="HR167" s="2"/>
      <c r="HS167" s="2"/>
      <c r="HT167" s="2"/>
      <c r="HU167" s="2"/>
      <c r="HV167" s="2"/>
      <c r="HW167" s="2"/>
      <c r="HX167" s="2"/>
      <c r="HY167" s="2"/>
      <c r="HZ167" s="2"/>
      <c r="IA167" s="2"/>
      <c r="IB167" s="2"/>
      <c r="IC167" s="2"/>
      <c r="ID167" s="2"/>
      <c r="IE167" s="2"/>
      <c r="IF167" s="2"/>
      <c r="IG167" s="2"/>
      <c r="IH167" s="2"/>
      <c r="II167" s="2"/>
      <c r="IJ167" s="2"/>
      <c r="IK167" s="2">
        <v>0</v>
      </c>
      <c r="IL167" s="2"/>
      <c r="IM167" s="2"/>
      <c r="IN167" s="2"/>
      <c r="IO167" s="2"/>
      <c r="IP167" s="2"/>
      <c r="IQ167" s="2"/>
      <c r="IR167" s="2"/>
      <c r="IS167" s="2"/>
      <c r="IT167" s="2"/>
      <c r="IU167" s="2"/>
    </row>
    <row r="168" spans="1:255">
      <c r="A168">
        <v>17</v>
      </c>
      <c r="B168">
        <v>1</v>
      </c>
      <c r="E168" t="s">
        <v>190</v>
      </c>
      <c r="F168" t="s">
        <v>191</v>
      </c>
      <c r="G168" t="s">
        <v>192</v>
      </c>
      <c r="H168" t="s">
        <v>193</v>
      </c>
      <c r="I168">
        <f>ROUND((1514.4)/1000,9)</f>
        <v>1.5144</v>
      </c>
      <c r="J168">
        <v>0</v>
      </c>
      <c r="K168">
        <f>ROUND((1514.4)/1000,9)</f>
        <v>1.5144</v>
      </c>
      <c r="O168">
        <f t="shared" si="165"/>
        <v>345265.19</v>
      </c>
      <c r="P168">
        <f t="shared" si="166"/>
        <v>77454.350000000006</v>
      </c>
      <c r="Q168">
        <f t="shared" si="167"/>
        <v>41190.19</v>
      </c>
      <c r="R168">
        <f t="shared" si="168"/>
        <v>12097.33</v>
      </c>
      <c r="S168">
        <f t="shared" si="169"/>
        <v>226620.65</v>
      </c>
      <c r="T168">
        <f t="shared" si="170"/>
        <v>0</v>
      </c>
      <c r="U168">
        <f t="shared" si="171"/>
        <v>423.34900559999994</v>
      </c>
      <c r="V168">
        <f t="shared" si="172"/>
        <v>0</v>
      </c>
      <c r="W168">
        <f t="shared" si="173"/>
        <v>0</v>
      </c>
      <c r="X168">
        <f t="shared" si="174"/>
        <v>303671.67</v>
      </c>
      <c r="Y168">
        <f t="shared" si="175"/>
        <v>124641.36</v>
      </c>
      <c r="AA168">
        <v>70322059</v>
      </c>
      <c r="AB168">
        <f t="shared" si="176"/>
        <v>11811.34</v>
      </c>
      <c r="AC168">
        <f t="shared" si="177"/>
        <v>6742.82</v>
      </c>
      <c r="AD168">
        <f t="shared" si="178"/>
        <v>2006.03</v>
      </c>
      <c r="AE168">
        <f t="shared" si="179"/>
        <v>163.47999999999999</v>
      </c>
      <c r="AF168">
        <f t="shared" si="180"/>
        <v>3062.49</v>
      </c>
      <c r="AG168">
        <f t="shared" si="181"/>
        <v>0</v>
      </c>
      <c r="AH168">
        <f t="shared" si="182"/>
        <v>267</v>
      </c>
      <c r="AI168">
        <f t="shared" si="183"/>
        <v>0</v>
      </c>
      <c r="AJ168">
        <f t="shared" si="184"/>
        <v>0</v>
      </c>
      <c r="AK168">
        <v>11811.34</v>
      </c>
      <c r="AL168">
        <v>6742.82</v>
      </c>
      <c r="AM168">
        <v>2006.03</v>
      </c>
      <c r="AN168">
        <v>163.47999999999999</v>
      </c>
      <c r="AO168">
        <v>3062.49</v>
      </c>
      <c r="AP168">
        <v>0</v>
      </c>
      <c r="AQ168">
        <v>267</v>
      </c>
      <c r="AR168">
        <v>0</v>
      </c>
      <c r="AS168">
        <v>0</v>
      </c>
      <c r="AT168">
        <v>134</v>
      </c>
      <c r="AU168">
        <v>55</v>
      </c>
      <c r="AV168">
        <v>1.0469999999999999</v>
      </c>
      <c r="AW168">
        <v>1.002</v>
      </c>
      <c r="AZ168">
        <v>1</v>
      </c>
      <c r="BA168">
        <v>46.67</v>
      </c>
      <c r="BB168">
        <v>12.95</v>
      </c>
      <c r="BC168">
        <v>7.57</v>
      </c>
      <c r="BD168" t="s">
        <v>6</v>
      </c>
      <c r="BE168" t="s">
        <v>6</v>
      </c>
      <c r="BF168" t="s">
        <v>6</v>
      </c>
      <c r="BG168" t="s">
        <v>6</v>
      </c>
      <c r="BH168">
        <v>0</v>
      </c>
      <c r="BI168">
        <v>1</v>
      </c>
      <c r="BJ168" t="s">
        <v>194</v>
      </c>
      <c r="BM168">
        <v>152</v>
      </c>
      <c r="BN168">
        <v>0</v>
      </c>
      <c r="BO168" t="s">
        <v>191</v>
      </c>
      <c r="BP168">
        <v>1</v>
      </c>
      <c r="BQ168">
        <v>30</v>
      </c>
      <c r="BR168">
        <v>0</v>
      </c>
      <c r="BS168">
        <v>46.67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6</v>
      </c>
      <c r="BZ168">
        <v>134</v>
      </c>
      <c r="CA168">
        <v>55</v>
      </c>
      <c r="CB168" t="s">
        <v>6</v>
      </c>
      <c r="CE168">
        <v>30</v>
      </c>
      <c r="CF168">
        <v>0</v>
      </c>
      <c r="CG168">
        <v>0</v>
      </c>
      <c r="CM168">
        <v>0</v>
      </c>
      <c r="CN168" t="s">
        <v>6</v>
      </c>
      <c r="CO168">
        <v>0</v>
      </c>
      <c r="CP168">
        <f t="shared" si="185"/>
        <v>345265.19</v>
      </c>
      <c r="CQ168">
        <f t="shared" si="186"/>
        <v>51145.27</v>
      </c>
      <c r="CR168">
        <f t="shared" si="187"/>
        <v>27199.01</v>
      </c>
      <c r="CS168">
        <f t="shared" si="188"/>
        <v>7988.04</v>
      </c>
      <c r="CT168">
        <f t="shared" si="189"/>
        <v>149644.09</v>
      </c>
      <c r="CU168">
        <f t="shared" si="190"/>
        <v>0</v>
      </c>
      <c r="CV168">
        <f t="shared" si="191"/>
        <v>279.54899999999998</v>
      </c>
      <c r="CW168">
        <f t="shared" si="192"/>
        <v>0</v>
      </c>
      <c r="CX168">
        <f t="shared" si="193"/>
        <v>0</v>
      </c>
      <c r="CY168">
        <f>S168*(BZ168/100)</f>
        <v>303671.67100000003</v>
      </c>
      <c r="CZ168">
        <f>S168*(CA168/100)</f>
        <v>124641.35750000001</v>
      </c>
      <c r="DC168" t="s">
        <v>6</v>
      </c>
      <c r="DD168" t="s">
        <v>6</v>
      </c>
      <c r="DE168" t="s">
        <v>6</v>
      </c>
      <c r="DF168" t="s">
        <v>6</v>
      </c>
      <c r="DG168" t="s">
        <v>6</v>
      </c>
      <c r="DH168" t="s">
        <v>6</v>
      </c>
      <c r="DI168" t="s">
        <v>6</v>
      </c>
      <c r="DJ168" t="s">
        <v>6</v>
      </c>
      <c r="DK168" t="s">
        <v>6</v>
      </c>
      <c r="DL168" t="s">
        <v>6</v>
      </c>
      <c r="DM168" t="s">
        <v>6</v>
      </c>
      <c r="DN168">
        <v>161</v>
      </c>
      <c r="DO168">
        <v>107</v>
      </c>
      <c r="DP168">
        <v>1.0469999999999999</v>
      </c>
      <c r="DQ168">
        <v>1.002</v>
      </c>
      <c r="DU168">
        <v>1013</v>
      </c>
      <c r="DV168" t="s">
        <v>193</v>
      </c>
      <c r="DW168" t="s">
        <v>193</v>
      </c>
      <c r="DX168">
        <v>1</v>
      </c>
      <c r="DZ168" t="s">
        <v>6</v>
      </c>
      <c r="EA168" t="s">
        <v>6</v>
      </c>
      <c r="EB168" t="s">
        <v>6</v>
      </c>
      <c r="EC168" t="s">
        <v>6</v>
      </c>
      <c r="EE168">
        <v>69252777</v>
      </c>
      <c r="EF168">
        <v>30</v>
      </c>
      <c r="EG168" t="s">
        <v>29</v>
      </c>
      <c r="EH168">
        <v>0</v>
      </c>
      <c r="EI168" t="s">
        <v>6</v>
      </c>
      <c r="EJ168">
        <v>1</v>
      </c>
      <c r="EK168">
        <v>152</v>
      </c>
      <c r="EL168" t="s">
        <v>195</v>
      </c>
      <c r="EM168" t="s">
        <v>196</v>
      </c>
      <c r="EO168" t="s">
        <v>6</v>
      </c>
      <c r="EQ168">
        <v>0</v>
      </c>
      <c r="ER168">
        <v>11811.34</v>
      </c>
      <c r="ES168">
        <v>6742.82</v>
      </c>
      <c r="ET168">
        <v>2006.03</v>
      </c>
      <c r="EU168">
        <v>163.47999999999999</v>
      </c>
      <c r="EV168">
        <v>3062.49</v>
      </c>
      <c r="EW168">
        <v>267</v>
      </c>
      <c r="EX168">
        <v>0</v>
      </c>
      <c r="EY168">
        <v>0</v>
      </c>
      <c r="FQ168">
        <v>0</v>
      </c>
      <c r="FR168">
        <f t="shared" si="194"/>
        <v>0</v>
      </c>
      <c r="FS168">
        <v>0</v>
      </c>
      <c r="FX168">
        <v>161</v>
      </c>
      <c r="FY168">
        <v>107</v>
      </c>
      <c r="GA168" t="s">
        <v>6</v>
      </c>
      <c r="GD168">
        <v>0</v>
      </c>
      <c r="GF168">
        <v>-1435671642</v>
      </c>
      <c r="GG168">
        <v>2</v>
      </c>
      <c r="GH168">
        <v>1</v>
      </c>
      <c r="GI168">
        <v>2</v>
      </c>
      <c r="GJ168">
        <v>0</v>
      </c>
      <c r="GK168">
        <f>ROUND(R168*(S12)/100,2)</f>
        <v>19355.73</v>
      </c>
      <c r="GL168">
        <f t="shared" si="195"/>
        <v>0</v>
      </c>
      <c r="GM168">
        <f t="shared" si="196"/>
        <v>792933.95</v>
      </c>
      <c r="GN168">
        <f t="shared" si="197"/>
        <v>792933.95</v>
      </c>
      <c r="GO168">
        <f t="shared" si="198"/>
        <v>0</v>
      </c>
      <c r="GP168">
        <f t="shared" si="199"/>
        <v>0</v>
      </c>
      <c r="GR168">
        <v>0</v>
      </c>
      <c r="GS168">
        <v>0</v>
      </c>
      <c r="GT168">
        <v>0</v>
      </c>
      <c r="GU168" t="s">
        <v>6</v>
      </c>
      <c r="GV168">
        <f t="shared" si="200"/>
        <v>0</v>
      </c>
      <c r="GW168">
        <v>1</v>
      </c>
      <c r="GX168">
        <f t="shared" si="201"/>
        <v>0</v>
      </c>
      <c r="HA168">
        <v>0</v>
      </c>
      <c r="HB168">
        <v>0</v>
      </c>
      <c r="HC168">
        <f t="shared" si="202"/>
        <v>0</v>
      </c>
      <c r="HE168" t="s">
        <v>6</v>
      </c>
      <c r="HF168" t="s">
        <v>6</v>
      </c>
      <c r="HM168" t="s">
        <v>6</v>
      </c>
      <c r="HN168" t="s">
        <v>6</v>
      </c>
      <c r="HO168" t="s">
        <v>6</v>
      </c>
      <c r="HP168" t="s">
        <v>6</v>
      </c>
      <c r="HQ168" t="s">
        <v>6</v>
      </c>
      <c r="IK168">
        <v>0</v>
      </c>
    </row>
    <row r="169" spans="1:255">
      <c r="A169" s="2">
        <v>18</v>
      </c>
      <c r="B169" s="2">
        <v>1</v>
      </c>
      <c r="C169" s="2"/>
      <c r="D169" s="2"/>
      <c r="E169" s="2" t="s">
        <v>197</v>
      </c>
      <c r="F169" s="2" t="s">
        <v>198</v>
      </c>
      <c r="G169" s="2" t="s">
        <v>199</v>
      </c>
      <c r="H169" s="2" t="s">
        <v>35</v>
      </c>
      <c r="I169" s="2">
        <f>I167*J169</f>
        <v>245.33279999999999</v>
      </c>
      <c r="J169" s="2">
        <v>162</v>
      </c>
      <c r="K169" s="2">
        <v>162</v>
      </c>
      <c r="L169" s="2"/>
      <c r="M169" s="2"/>
      <c r="N169" s="2"/>
      <c r="O169" s="2">
        <f t="shared" si="165"/>
        <v>127125.15</v>
      </c>
      <c r="P169" s="2">
        <f t="shared" si="166"/>
        <v>127125.15</v>
      </c>
      <c r="Q169" s="2">
        <f t="shared" si="167"/>
        <v>0</v>
      </c>
      <c r="R169" s="2">
        <f t="shared" si="168"/>
        <v>0</v>
      </c>
      <c r="S169" s="2">
        <f t="shared" si="169"/>
        <v>0</v>
      </c>
      <c r="T169" s="2">
        <f t="shared" si="170"/>
        <v>0</v>
      </c>
      <c r="U169" s="2">
        <f t="shared" si="171"/>
        <v>0</v>
      </c>
      <c r="V169" s="2">
        <f t="shared" si="172"/>
        <v>0</v>
      </c>
      <c r="W169" s="2">
        <f t="shared" si="173"/>
        <v>0</v>
      </c>
      <c r="X169" s="2">
        <f t="shared" si="174"/>
        <v>0</v>
      </c>
      <c r="Y169" s="2">
        <f t="shared" si="175"/>
        <v>0</v>
      </c>
      <c r="Z169" s="2"/>
      <c r="AA169" s="2">
        <v>70322058</v>
      </c>
      <c r="AB169" s="2">
        <f t="shared" si="176"/>
        <v>517.14</v>
      </c>
      <c r="AC169" s="2">
        <f t="shared" si="177"/>
        <v>517.14</v>
      </c>
      <c r="AD169" s="2">
        <f t="shared" si="178"/>
        <v>0</v>
      </c>
      <c r="AE169" s="2">
        <f t="shared" si="179"/>
        <v>0</v>
      </c>
      <c r="AF169" s="2">
        <f t="shared" si="180"/>
        <v>0</v>
      </c>
      <c r="AG169" s="2">
        <f t="shared" si="181"/>
        <v>0</v>
      </c>
      <c r="AH169" s="2">
        <f t="shared" si="182"/>
        <v>0</v>
      </c>
      <c r="AI169" s="2">
        <f t="shared" si="183"/>
        <v>0</v>
      </c>
      <c r="AJ169" s="2">
        <f t="shared" si="184"/>
        <v>0</v>
      </c>
      <c r="AK169" s="2">
        <v>517.14</v>
      </c>
      <c r="AL169" s="2">
        <v>517.14</v>
      </c>
      <c r="AM169" s="2">
        <v>0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161</v>
      </c>
      <c r="AU169" s="2">
        <v>107</v>
      </c>
      <c r="AV169" s="2">
        <v>1.0469999999999999</v>
      </c>
      <c r="AW169" s="2">
        <v>1.002</v>
      </c>
      <c r="AX169" s="2"/>
      <c r="AY169" s="2"/>
      <c r="AZ169" s="2">
        <v>1</v>
      </c>
      <c r="BA169" s="2">
        <v>1</v>
      </c>
      <c r="BB169" s="2">
        <v>1</v>
      </c>
      <c r="BC169" s="2">
        <v>1</v>
      </c>
      <c r="BD169" s="2" t="s">
        <v>6</v>
      </c>
      <c r="BE169" s="2" t="s">
        <v>6</v>
      </c>
      <c r="BF169" s="2" t="s">
        <v>6</v>
      </c>
      <c r="BG169" s="2" t="s">
        <v>6</v>
      </c>
      <c r="BH169" s="2">
        <v>3</v>
      </c>
      <c r="BI169" s="2">
        <v>1</v>
      </c>
      <c r="BJ169" s="2" t="s">
        <v>200</v>
      </c>
      <c r="BK169" s="2"/>
      <c r="BL169" s="2"/>
      <c r="BM169" s="2">
        <v>152</v>
      </c>
      <c r="BN169" s="2">
        <v>0</v>
      </c>
      <c r="BO169" s="2" t="s">
        <v>6</v>
      </c>
      <c r="BP169" s="2">
        <v>0</v>
      </c>
      <c r="BQ169" s="2">
        <v>30</v>
      </c>
      <c r="BR169" s="2">
        <v>0</v>
      </c>
      <c r="BS169" s="2">
        <v>1</v>
      </c>
      <c r="BT169" s="2">
        <v>1</v>
      </c>
      <c r="BU169" s="2">
        <v>1</v>
      </c>
      <c r="BV169" s="2">
        <v>1</v>
      </c>
      <c r="BW169" s="2">
        <v>1</v>
      </c>
      <c r="BX169" s="2">
        <v>1</v>
      </c>
      <c r="BY169" s="2" t="s">
        <v>6</v>
      </c>
      <c r="BZ169" s="2">
        <v>161</v>
      </c>
      <c r="CA169" s="2">
        <v>107</v>
      </c>
      <c r="CB169" s="2" t="s">
        <v>6</v>
      </c>
      <c r="CC169" s="2"/>
      <c r="CD169" s="2"/>
      <c r="CE169" s="2">
        <v>30</v>
      </c>
      <c r="CF169" s="2">
        <v>0</v>
      </c>
      <c r="CG169" s="2">
        <v>0</v>
      </c>
      <c r="CH169" s="2"/>
      <c r="CI169" s="2"/>
      <c r="CJ169" s="2"/>
      <c r="CK169" s="2"/>
      <c r="CL169" s="2"/>
      <c r="CM169" s="2">
        <v>0</v>
      </c>
      <c r="CN169" s="2" t="s">
        <v>6</v>
      </c>
      <c r="CO169" s="2">
        <v>0</v>
      </c>
      <c r="CP169" s="2">
        <f t="shared" si="185"/>
        <v>127125.15</v>
      </c>
      <c r="CQ169" s="2">
        <f t="shared" si="186"/>
        <v>518.16999999999996</v>
      </c>
      <c r="CR169" s="2">
        <f t="shared" si="187"/>
        <v>0</v>
      </c>
      <c r="CS169" s="2">
        <f t="shared" si="188"/>
        <v>0</v>
      </c>
      <c r="CT169" s="2">
        <f t="shared" si="189"/>
        <v>0</v>
      </c>
      <c r="CU169" s="2">
        <f t="shared" si="190"/>
        <v>0</v>
      </c>
      <c r="CV169" s="2">
        <f t="shared" si="191"/>
        <v>0</v>
      </c>
      <c r="CW169" s="2">
        <f t="shared" si="192"/>
        <v>0</v>
      </c>
      <c r="CX169" s="2">
        <f t="shared" si="193"/>
        <v>0</v>
      </c>
      <c r="CY169" s="2">
        <f>((S169*BZ169)/100)</f>
        <v>0</v>
      </c>
      <c r="CZ169" s="2">
        <f>((S169*CA169)/100)</f>
        <v>0</v>
      </c>
      <c r="DA169" s="2"/>
      <c r="DB169" s="2"/>
      <c r="DC169" s="2" t="s">
        <v>6</v>
      </c>
      <c r="DD169" s="2" t="s">
        <v>6</v>
      </c>
      <c r="DE169" s="2" t="s">
        <v>6</v>
      </c>
      <c r="DF169" s="2" t="s">
        <v>6</v>
      </c>
      <c r="DG169" s="2" t="s">
        <v>6</v>
      </c>
      <c r="DH169" s="2" t="s">
        <v>6</v>
      </c>
      <c r="DI169" s="2" t="s">
        <v>6</v>
      </c>
      <c r="DJ169" s="2" t="s">
        <v>6</v>
      </c>
      <c r="DK169" s="2" t="s">
        <v>6</v>
      </c>
      <c r="DL169" s="2" t="s">
        <v>6</v>
      </c>
      <c r="DM169" s="2" t="s">
        <v>6</v>
      </c>
      <c r="DN169" s="2">
        <v>0</v>
      </c>
      <c r="DO169" s="2">
        <v>0</v>
      </c>
      <c r="DP169" s="2">
        <v>1</v>
      </c>
      <c r="DQ169" s="2">
        <v>1</v>
      </c>
      <c r="DR169" s="2"/>
      <c r="DS169" s="2"/>
      <c r="DT169" s="2"/>
      <c r="DU169" s="2">
        <v>1007</v>
      </c>
      <c r="DV169" s="2" t="s">
        <v>35</v>
      </c>
      <c r="DW169" s="2" t="s">
        <v>35</v>
      </c>
      <c r="DX169" s="2">
        <v>1</v>
      </c>
      <c r="DY169" s="2"/>
      <c r="DZ169" s="2" t="s">
        <v>6</v>
      </c>
      <c r="EA169" s="2" t="s">
        <v>6</v>
      </c>
      <c r="EB169" s="2" t="s">
        <v>6</v>
      </c>
      <c r="EC169" s="2" t="s">
        <v>6</v>
      </c>
      <c r="ED169" s="2"/>
      <c r="EE169" s="2">
        <v>69252777</v>
      </c>
      <c r="EF169" s="2">
        <v>30</v>
      </c>
      <c r="EG169" s="2" t="s">
        <v>29</v>
      </c>
      <c r="EH169" s="2">
        <v>0</v>
      </c>
      <c r="EI169" s="2" t="s">
        <v>6</v>
      </c>
      <c r="EJ169" s="2">
        <v>1</v>
      </c>
      <c r="EK169" s="2">
        <v>152</v>
      </c>
      <c r="EL169" s="2" t="s">
        <v>195</v>
      </c>
      <c r="EM169" s="2" t="s">
        <v>196</v>
      </c>
      <c r="EN169" s="2"/>
      <c r="EO169" s="2" t="s">
        <v>6</v>
      </c>
      <c r="EP169" s="2"/>
      <c r="EQ169" s="2">
        <v>0</v>
      </c>
      <c r="ER169" s="2">
        <v>517.14</v>
      </c>
      <c r="ES169" s="2">
        <v>517.14</v>
      </c>
      <c r="ET169" s="2">
        <v>0</v>
      </c>
      <c r="EU169" s="2">
        <v>0</v>
      </c>
      <c r="EV169" s="2">
        <v>0</v>
      </c>
      <c r="EW169" s="2">
        <v>0</v>
      </c>
      <c r="EX169" s="2">
        <v>0</v>
      </c>
      <c r="EY169" s="2"/>
      <c r="EZ169" s="2"/>
      <c r="FA169" s="2"/>
      <c r="FB169" s="2"/>
      <c r="FC169" s="2"/>
      <c r="FD169" s="2"/>
      <c r="FE169" s="2"/>
      <c r="FF169" s="2"/>
      <c r="FG169" s="2"/>
      <c r="FH169" s="2"/>
      <c r="FI169" s="2"/>
      <c r="FJ169" s="2"/>
      <c r="FK169" s="2"/>
      <c r="FL169" s="2"/>
      <c r="FM169" s="2"/>
      <c r="FN169" s="2"/>
      <c r="FO169" s="2"/>
      <c r="FP169" s="2"/>
      <c r="FQ169" s="2">
        <v>0</v>
      </c>
      <c r="FR169" s="2">
        <f t="shared" si="194"/>
        <v>0</v>
      </c>
      <c r="FS169" s="2">
        <v>0</v>
      </c>
      <c r="FT169" s="2"/>
      <c r="FU169" s="2"/>
      <c r="FV169" s="2"/>
      <c r="FW169" s="2"/>
      <c r="FX169" s="2">
        <v>161</v>
      </c>
      <c r="FY169" s="2">
        <v>107</v>
      </c>
      <c r="FZ169" s="2"/>
      <c r="GA169" s="2" t="s">
        <v>6</v>
      </c>
      <c r="GB169" s="2"/>
      <c r="GC169" s="2"/>
      <c r="GD169" s="2">
        <v>0</v>
      </c>
      <c r="GE169" s="2"/>
      <c r="GF169" s="2">
        <v>772680519</v>
      </c>
      <c r="GG169" s="2">
        <v>2</v>
      </c>
      <c r="GH169" s="2">
        <v>1</v>
      </c>
      <c r="GI169" s="2">
        <v>-2</v>
      </c>
      <c r="GJ169" s="2">
        <v>0</v>
      </c>
      <c r="GK169" s="2">
        <f>ROUND(R169*(R12)/100,2)</f>
        <v>0</v>
      </c>
      <c r="GL169" s="2">
        <f t="shared" si="195"/>
        <v>0</v>
      </c>
      <c r="GM169" s="2">
        <f t="shared" si="196"/>
        <v>127125.15</v>
      </c>
      <c r="GN169" s="2">
        <f t="shared" si="197"/>
        <v>127125.15</v>
      </c>
      <c r="GO169" s="2">
        <f t="shared" si="198"/>
        <v>0</v>
      </c>
      <c r="GP169" s="2">
        <f t="shared" si="199"/>
        <v>0</v>
      </c>
      <c r="GQ169" s="2"/>
      <c r="GR169" s="2">
        <v>0</v>
      </c>
      <c r="GS169" s="2">
        <v>3</v>
      </c>
      <c r="GT169" s="2">
        <v>0</v>
      </c>
      <c r="GU169" s="2" t="s">
        <v>6</v>
      </c>
      <c r="GV169" s="2">
        <f t="shared" si="200"/>
        <v>0</v>
      </c>
      <c r="GW169" s="2">
        <v>1</v>
      </c>
      <c r="GX169" s="2">
        <f t="shared" si="201"/>
        <v>0</v>
      </c>
      <c r="GY169" s="2"/>
      <c r="GZ169" s="2"/>
      <c r="HA169" s="2">
        <v>0</v>
      </c>
      <c r="HB169" s="2">
        <v>0</v>
      </c>
      <c r="HC169" s="2">
        <f t="shared" si="202"/>
        <v>0</v>
      </c>
      <c r="HD169" s="2"/>
      <c r="HE169" s="2" t="s">
        <v>6</v>
      </c>
      <c r="HF169" s="2" t="s">
        <v>6</v>
      </c>
      <c r="HG169" s="2"/>
      <c r="HH169" s="2"/>
      <c r="HI169" s="2"/>
      <c r="HJ169" s="2"/>
      <c r="HK169" s="2"/>
      <c r="HL169" s="2"/>
      <c r="HM169" s="2" t="s">
        <v>6</v>
      </c>
      <c r="HN169" s="2" t="s">
        <v>6</v>
      </c>
      <c r="HO169" s="2" t="s">
        <v>6</v>
      </c>
      <c r="HP169" s="2" t="s">
        <v>6</v>
      </c>
      <c r="HQ169" s="2" t="s">
        <v>6</v>
      </c>
      <c r="HR169" s="2"/>
      <c r="HS169" s="2"/>
      <c r="HT169" s="2"/>
      <c r="HU169" s="2"/>
      <c r="HV169" s="2"/>
      <c r="HW169" s="2"/>
      <c r="HX169" s="2"/>
      <c r="HY169" s="2"/>
      <c r="HZ169" s="2"/>
      <c r="IA169" s="2"/>
      <c r="IB169" s="2"/>
      <c r="IC169" s="2"/>
      <c r="ID169" s="2"/>
      <c r="IE169" s="2"/>
      <c r="IF169" s="2"/>
      <c r="IG169" s="2"/>
      <c r="IH169" s="2"/>
      <c r="II169" s="2"/>
      <c r="IJ169" s="2"/>
      <c r="IK169" s="2">
        <v>0</v>
      </c>
      <c r="IL169" s="2"/>
      <c r="IM169" s="2"/>
      <c r="IN169" s="2"/>
      <c r="IO169" s="2"/>
      <c r="IP169" s="2"/>
      <c r="IQ169" s="2"/>
      <c r="IR169" s="2"/>
      <c r="IS169" s="2"/>
      <c r="IT169" s="2"/>
      <c r="IU169" s="2"/>
    </row>
    <row r="170" spans="1:255">
      <c r="A170">
        <v>18</v>
      </c>
      <c r="B170">
        <v>1</v>
      </c>
      <c r="E170" t="s">
        <v>197</v>
      </c>
      <c r="F170" t="s">
        <v>198</v>
      </c>
      <c r="G170" t="s">
        <v>199</v>
      </c>
      <c r="H170" t="s">
        <v>35</v>
      </c>
      <c r="I170">
        <f>I168*J170</f>
        <v>245.33279999999999</v>
      </c>
      <c r="J170">
        <v>162</v>
      </c>
      <c r="K170">
        <v>162</v>
      </c>
      <c r="O170">
        <f t="shared" si="165"/>
        <v>1624659.42</v>
      </c>
      <c r="P170">
        <f t="shared" si="166"/>
        <v>1624659.42</v>
      </c>
      <c r="Q170">
        <f t="shared" si="167"/>
        <v>0</v>
      </c>
      <c r="R170">
        <f t="shared" si="168"/>
        <v>0</v>
      </c>
      <c r="S170">
        <f t="shared" si="169"/>
        <v>0</v>
      </c>
      <c r="T170">
        <f t="shared" si="170"/>
        <v>0</v>
      </c>
      <c r="U170">
        <f t="shared" si="171"/>
        <v>0</v>
      </c>
      <c r="V170">
        <f t="shared" si="172"/>
        <v>0</v>
      </c>
      <c r="W170">
        <f t="shared" si="173"/>
        <v>0</v>
      </c>
      <c r="X170">
        <f t="shared" si="174"/>
        <v>0</v>
      </c>
      <c r="Y170">
        <f t="shared" si="175"/>
        <v>0</v>
      </c>
      <c r="AA170">
        <v>70322059</v>
      </c>
      <c r="AB170">
        <f t="shared" si="176"/>
        <v>517.14</v>
      </c>
      <c r="AC170">
        <f t="shared" si="177"/>
        <v>517.14</v>
      </c>
      <c r="AD170">
        <f t="shared" si="178"/>
        <v>0</v>
      </c>
      <c r="AE170">
        <f t="shared" si="179"/>
        <v>0</v>
      </c>
      <c r="AF170">
        <f t="shared" si="180"/>
        <v>0</v>
      </c>
      <c r="AG170">
        <f t="shared" si="181"/>
        <v>0</v>
      </c>
      <c r="AH170">
        <f t="shared" si="182"/>
        <v>0</v>
      </c>
      <c r="AI170">
        <f t="shared" si="183"/>
        <v>0</v>
      </c>
      <c r="AJ170">
        <f t="shared" si="184"/>
        <v>0</v>
      </c>
      <c r="AK170">
        <v>517.14</v>
      </c>
      <c r="AL170">
        <v>517.14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1.0469999999999999</v>
      </c>
      <c r="AW170">
        <v>1.002</v>
      </c>
      <c r="AZ170">
        <v>1</v>
      </c>
      <c r="BA170">
        <v>1</v>
      </c>
      <c r="BB170">
        <v>1</v>
      </c>
      <c r="BC170">
        <v>12.78</v>
      </c>
      <c r="BD170" t="s">
        <v>6</v>
      </c>
      <c r="BE170" t="s">
        <v>6</v>
      </c>
      <c r="BF170" t="s">
        <v>6</v>
      </c>
      <c r="BG170" t="s">
        <v>6</v>
      </c>
      <c r="BH170">
        <v>3</v>
      </c>
      <c r="BI170">
        <v>1</v>
      </c>
      <c r="BJ170" t="s">
        <v>200</v>
      </c>
      <c r="BM170">
        <v>152</v>
      </c>
      <c r="BN170">
        <v>0</v>
      </c>
      <c r="BO170" t="s">
        <v>198</v>
      </c>
      <c r="BP170">
        <v>1</v>
      </c>
      <c r="BQ170">
        <v>30</v>
      </c>
      <c r="BR170">
        <v>0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6</v>
      </c>
      <c r="BZ170">
        <v>0</v>
      </c>
      <c r="CA170">
        <v>0</v>
      </c>
      <c r="CB170" t="s">
        <v>6</v>
      </c>
      <c r="CE170">
        <v>30</v>
      </c>
      <c r="CF170">
        <v>0</v>
      </c>
      <c r="CG170">
        <v>0</v>
      </c>
      <c r="CM170">
        <v>0</v>
      </c>
      <c r="CN170" t="s">
        <v>6</v>
      </c>
      <c r="CO170">
        <v>0</v>
      </c>
      <c r="CP170">
        <f t="shared" si="185"/>
        <v>1624659.42</v>
      </c>
      <c r="CQ170">
        <f t="shared" si="186"/>
        <v>6622.21</v>
      </c>
      <c r="CR170">
        <f t="shared" si="187"/>
        <v>0</v>
      </c>
      <c r="CS170">
        <f t="shared" si="188"/>
        <v>0</v>
      </c>
      <c r="CT170">
        <f t="shared" si="189"/>
        <v>0</v>
      </c>
      <c r="CU170">
        <f t="shared" si="190"/>
        <v>0</v>
      </c>
      <c r="CV170">
        <f t="shared" si="191"/>
        <v>0</v>
      </c>
      <c r="CW170">
        <f t="shared" si="192"/>
        <v>0</v>
      </c>
      <c r="CX170">
        <f t="shared" si="193"/>
        <v>0</v>
      </c>
      <c r="CY170">
        <f>S170*(BZ170/100)</f>
        <v>0</v>
      </c>
      <c r="CZ170">
        <f>S170*(CA170/100)</f>
        <v>0</v>
      </c>
      <c r="DC170" t="s">
        <v>6</v>
      </c>
      <c r="DD170" t="s">
        <v>6</v>
      </c>
      <c r="DE170" t="s">
        <v>6</v>
      </c>
      <c r="DF170" t="s">
        <v>6</v>
      </c>
      <c r="DG170" t="s">
        <v>6</v>
      </c>
      <c r="DH170" t="s">
        <v>6</v>
      </c>
      <c r="DI170" t="s">
        <v>6</v>
      </c>
      <c r="DJ170" t="s">
        <v>6</v>
      </c>
      <c r="DK170" t="s">
        <v>6</v>
      </c>
      <c r="DL170" t="s">
        <v>6</v>
      </c>
      <c r="DM170" t="s">
        <v>6</v>
      </c>
      <c r="DN170">
        <v>161</v>
      </c>
      <c r="DO170">
        <v>107</v>
      </c>
      <c r="DP170">
        <v>1.0469999999999999</v>
      </c>
      <c r="DQ170">
        <v>1.002</v>
      </c>
      <c r="DU170">
        <v>1007</v>
      </c>
      <c r="DV170" t="s">
        <v>35</v>
      </c>
      <c r="DW170" t="s">
        <v>35</v>
      </c>
      <c r="DX170">
        <v>1</v>
      </c>
      <c r="DZ170" t="s">
        <v>6</v>
      </c>
      <c r="EA170" t="s">
        <v>6</v>
      </c>
      <c r="EB170" t="s">
        <v>6</v>
      </c>
      <c r="EC170" t="s">
        <v>6</v>
      </c>
      <c r="EE170">
        <v>69252777</v>
      </c>
      <c r="EF170">
        <v>30</v>
      </c>
      <c r="EG170" t="s">
        <v>29</v>
      </c>
      <c r="EH170">
        <v>0</v>
      </c>
      <c r="EI170" t="s">
        <v>6</v>
      </c>
      <c r="EJ170">
        <v>1</v>
      </c>
      <c r="EK170">
        <v>152</v>
      </c>
      <c r="EL170" t="s">
        <v>195</v>
      </c>
      <c r="EM170" t="s">
        <v>196</v>
      </c>
      <c r="EO170" t="s">
        <v>6</v>
      </c>
      <c r="EQ170">
        <v>0</v>
      </c>
      <c r="ER170">
        <v>517.14</v>
      </c>
      <c r="ES170">
        <v>517.14</v>
      </c>
      <c r="ET170">
        <v>0</v>
      </c>
      <c r="EU170">
        <v>0</v>
      </c>
      <c r="EV170">
        <v>0</v>
      </c>
      <c r="EW170">
        <v>0</v>
      </c>
      <c r="EX170">
        <v>0</v>
      </c>
      <c r="FQ170">
        <v>0</v>
      </c>
      <c r="FR170">
        <f t="shared" si="194"/>
        <v>0</v>
      </c>
      <c r="FS170">
        <v>0</v>
      </c>
      <c r="FX170">
        <v>161</v>
      </c>
      <c r="FY170">
        <v>107</v>
      </c>
      <c r="GA170" t="s">
        <v>6</v>
      </c>
      <c r="GD170">
        <v>0</v>
      </c>
      <c r="GF170">
        <v>772680519</v>
      </c>
      <c r="GG170">
        <v>2</v>
      </c>
      <c r="GH170">
        <v>1</v>
      </c>
      <c r="GI170">
        <v>2</v>
      </c>
      <c r="GJ170">
        <v>0</v>
      </c>
      <c r="GK170">
        <f>ROUND(R170*(S12)/100,2)</f>
        <v>0</v>
      </c>
      <c r="GL170">
        <f t="shared" si="195"/>
        <v>0</v>
      </c>
      <c r="GM170">
        <f t="shared" si="196"/>
        <v>1624659.42</v>
      </c>
      <c r="GN170">
        <f t="shared" si="197"/>
        <v>1624659.42</v>
      </c>
      <c r="GO170">
        <f t="shared" si="198"/>
        <v>0</v>
      </c>
      <c r="GP170">
        <f t="shared" si="199"/>
        <v>0</v>
      </c>
      <c r="GR170">
        <v>0</v>
      </c>
      <c r="GS170">
        <v>0</v>
      </c>
      <c r="GT170">
        <v>0</v>
      </c>
      <c r="GU170" t="s">
        <v>6</v>
      </c>
      <c r="GV170">
        <f t="shared" si="200"/>
        <v>0</v>
      </c>
      <c r="GW170">
        <v>1</v>
      </c>
      <c r="GX170">
        <f t="shared" si="201"/>
        <v>0</v>
      </c>
      <c r="HA170">
        <v>0</v>
      </c>
      <c r="HB170">
        <v>0</v>
      </c>
      <c r="HC170">
        <f t="shared" si="202"/>
        <v>0</v>
      </c>
      <c r="HE170" t="s">
        <v>6</v>
      </c>
      <c r="HF170" t="s">
        <v>6</v>
      </c>
      <c r="HM170" t="s">
        <v>6</v>
      </c>
      <c r="HN170" t="s">
        <v>6</v>
      </c>
      <c r="HO170" t="s">
        <v>6</v>
      </c>
      <c r="HP170" t="s">
        <v>6</v>
      </c>
      <c r="HQ170" t="s">
        <v>6</v>
      </c>
      <c r="IK170">
        <v>0</v>
      </c>
    </row>
    <row r="171" spans="1:255">
      <c r="A171" s="2">
        <v>17</v>
      </c>
      <c r="B171" s="2">
        <v>1</v>
      </c>
      <c r="C171" s="2"/>
      <c r="D171" s="2"/>
      <c r="E171" s="2" t="s">
        <v>201</v>
      </c>
      <c r="F171" s="2" t="s">
        <v>202</v>
      </c>
      <c r="G171" s="2" t="s">
        <v>203</v>
      </c>
      <c r="H171" s="2" t="s">
        <v>204</v>
      </c>
      <c r="I171" s="2">
        <f>ROUND((1514.4)/1000,9)</f>
        <v>1.5144</v>
      </c>
      <c r="J171" s="2">
        <v>0</v>
      </c>
      <c r="K171" s="2">
        <f>ROUND((1514.4)/1000,9)</f>
        <v>1.5144</v>
      </c>
      <c r="L171" s="2"/>
      <c r="M171" s="2"/>
      <c r="N171" s="2"/>
      <c r="O171" s="2">
        <f t="shared" si="165"/>
        <v>212.56</v>
      </c>
      <c r="P171" s="2">
        <f t="shared" si="166"/>
        <v>0</v>
      </c>
      <c r="Q171" s="2">
        <f t="shared" si="167"/>
        <v>0</v>
      </c>
      <c r="R171" s="2">
        <f t="shared" si="168"/>
        <v>0</v>
      </c>
      <c r="S171" s="2">
        <f t="shared" si="169"/>
        <v>212.56</v>
      </c>
      <c r="T171" s="2">
        <f t="shared" si="170"/>
        <v>0</v>
      </c>
      <c r="U171" s="2">
        <f t="shared" si="171"/>
        <v>18.075575520000001</v>
      </c>
      <c r="V171" s="2">
        <f t="shared" si="172"/>
        <v>0</v>
      </c>
      <c r="W171" s="2">
        <f t="shared" si="173"/>
        <v>0</v>
      </c>
      <c r="X171" s="2">
        <f t="shared" si="174"/>
        <v>342.22</v>
      </c>
      <c r="Y171" s="2">
        <f t="shared" si="175"/>
        <v>227.44</v>
      </c>
      <c r="Z171" s="2"/>
      <c r="AA171" s="2">
        <v>70322058</v>
      </c>
      <c r="AB171" s="2">
        <f t="shared" si="176"/>
        <v>134.06</v>
      </c>
      <c r="AC171" s="2">
        <f t="shared" si="177"/>
        <v>0</v>
      </c>
      <c r="AD171" s="2">
        <f t="shared" si="178"/>
        <v>0</v>
      </c>
      <c r="AE171" s="2">
        <f t="shared" si="179"/>
        <v>0</v>
      </c>
      <c r="AF171" s="2">
        <f t="shared" si="180"/>
        <v>134.06</v>
      </c>
      <c r="AG171" s="2">
        <f t="shared" si="181"/>
        <v>0</v>
      </c>
      <c r="AH171" s="2">
        <f t="shared" si="182"/>
        <v>11.4</v>
      </c>
      <c r="AI171" s="2">
        <f t="shared" si="183"/>
        <v>0</v>
      </c>
      <c r="AJ171" s="2">
        <f t="shared" si="184"/>
        <v>0</v>
      </c>
      <c r="AK171" s="2">
        <v>134.06</v>
      </c>
      <c r="AL171" s="2">
        <v>0</v>
      </c>
      <c r="AM171" s="2">
        <v>0</v>
      </c>
      <c r="AN171" s="2">
        <v>0</v>
      </c>
      <c r="AO171" s="2">
        <v>134.06</v>
      </c>
      <c r="AP171" s="2">
        <v>0</v>
      </c>
      <c r="AQ171" s="2">
        <v>11.4</v>
      </c>
      <c r="AR171" s="2">
        <v>0</v>
      </c>
      <c r="AS171" s="2">
        <v>0</v>
      </c>
      <c r="AT171" s="2">
        <v>161</v>
      </c>
      <c r="AU171" s="2">
        <v>107</v>
      </c>
      <c r="AV171" s="2">
        <v>1.0469999999999999</v>
      </c>
      <c r="AW171" s="2">
        <v>1.03</v>
      </c>
      <c r="AX171" s="2"/>
      <c r="AY171" s="2"/>
      <c r="AZ171" s="2">
        <v>1</v>
      </c>
      <c r="BA171" s="2">
        <v>1</v>
      </c>
      <c r="BB171" s="2">
        <v>1</v>
      </c>
      <c r="BC171" s="2">
        <v>1</v>
      </c>
      <c r="BD171" s="2" t="s">
        <v>6</v>
      </c>
      <c r="BE171" s="2" t="s">
        <v>6</v>
      </c>
      <c r="BF171" s="2" t="s">
        <v>6</v>
      </c>
      <c r="BG171" s="2" t="s">
        <v>6</v>
      </c>
      <c r="BH171" s="2">
        <v>0</v>
      </c>
      <c r="BI171" s="2">
        <v>1</v>
      </c>
      <c r="BJ171" s="2" t="s">
        <v>205</v>
      </c>
      <c r="BK171" s="2"/>
      <c r="BL171" s="2"/>
      <c r="BM171" s="2">
        <v>153</v>
      </c>
      <c r="BN171" s="2">
        <v>0</v>
      </c>
      <c r="BO171" s="2" t="s">
        <v>6</v>
      </c>
      <c r="BP171" s="2">
        <v>0</v>
      </c>
      <c r="BQ171" s="2">
        <v>30</v>
      </c>
      <c r="BR171" s="2">
        <v>0</v>
      </c>
      <c r="BS171" s="2">
        <v>1</v>
      </c>
      <c r="BT171" s="2">
        <v>1</v>
      </c>
      <c r="BU171" s="2">
        <v>1</v>
      </c>
      <c r="BV171" s="2">
        <v>1</v>
      </c>
      <c r="BW171" s="2">
        <v>1</v>
      </c>
      <c r="BX171" s="2">
        <v>1</v>
      </c>
      <c r="BY171" s="2" t="s">
        <v>6</v>
      </c>
      <c r="BZ171" s="2">
        <v>161</v>
      </c>
      <c r="CA171" s="2">
        <v>107</v>
      </c>
      <c r="CB171" s="2" t="s">
        <v>6</v>
      </c>
      <c r="CC171" s="2"/>
      <c r="CD171" s="2"/>
      <c r="CE171" s="2">
        <v>30</v>
      </c>
      <c r="CF171" s="2">
        <v>0</v>
      </c>
      <c r="CG171" s="2">
        <v>0</v>
      </c>
      <c r="CH171" s="2"/>
      <c r="CI171" s="2"/>
      <c r="CJ171" s="2"/>
      <c r="CK171" s="2"/>
      <c r="CL171" s="2"/>
      <c r="CM171" s="2">
        <v>0</v>
      </c>
      <c r="CN171" s="2" t="s">
        <v>6</v>
      </c>
      <c r="CO171" s="2">
        <v>0</v>
      </c>
      <c r="CP171" s="2">
        <f t="shared" si="185"/>
        <v>212.56</v>
      </c>
      <c r="CQ171" s="2">
        <f t="shared" si="186"/>
        <v>0</v>
      </c>
      <c r="CR171" s="2">
        <f t="shared" si="187"/>
        <v>0</v>
      </c>
      <c r="CS171" s="2">
        <f t="shared" si="188"/>
        <v>0</v>
      </c>
      <c r="CT171" s="2">
        <f t="shared" si="189"/>
        <v>140.36000000000001</v>
      </c>
      <c r="CU171" s="2">
        <f t="shared" si="190"/>
        <v>0</v>
      </c>
      <c r="CV171" s="2">
        <f t="shared" si="191"/>
        <v>11.9358</v>
      </c>
      <c r="CW171" s="2">
        <f t="shared" si="192"/>
        <v>0</v>
      </c>
      <c r="CX171" s="2">
        <f t="shared" si="193"/>
        <v>0</v>
      </c>
      <c r="CY171" s="2">
        <f>((S171*BZ171)/100)</f>
        <v>342.22160000000002</v>
      </c>
      <c r="CZ171" s="2">
        <f>((S171*CA171)/100)</f>
        <v>227.43920000000003</v>
      </c>
      <c r="DA171" s="2"/>
      <c r="DB171" s="2"/>
      <c r="DC171" s="2" t="s">
        <v>6</v>
      </c>
      <c r="DD171" s="2" t="s">
        <v>6</v>
      </c>
      <c r="DE171" s="2" t="s">
        <v>6</v>
      </c>
      <c r="DF171" s="2" t="s">
        <v>6</v>
      </c>
      <c r="DG171" s="2" t="s">
        <v>6</v>
      </c>
      <c r="DH171" s="2" t="s">
        <v>6</v>
      </c>
      <c r="DI171" s="2" t="s">
        <v>6</v>
      </c>
      <c r="DJ171" s="2" t="s">
        <v>6</v>
      </c>
      <c r="DK171" s="2" t="s">
        <v>6</v>
      </c>
      <c r="DL171" s="2" t="s">
        <v>6</v>
      </c>
      <c r="DM171" s="2" t="s">
        <v>6</v>
      </c>
      <c r="DN171" s="2">
        <v>0</v>
      </c>
      <c r="DO171" s="2">
        <v>0</v>
      </c>
      <c r="DP171" s="2">
        <v>1</v>
      </c>
      <c r="DQ171" s="2">
        <v>1</v>
      </c>
      <c r="DR171" s="2"/>
      <c r="DS171" s="2"/>
      <c r="DT171" s="2"/>
      <c r="DU171" s="2">
        <v>1013</v>
      </c>
      <c r="DV171" s="2" t="s">
        <v>204</v>
      </c>
      <c r="DW171" s="2" t="s">
        <v>204</v>
      </c>
      <c r="DX171" s="2">
        <v>1</v>
      </c>
      <c r="DY171" s="2"/>
      <c r="DZ171" s="2" t="s">
        <v>6</v>
      </c>
      <c r="EA171" s="2" t="s">
        <v>6</v>
      </c>
      <c r="EB171" s="2" t="s">
        <v>6</v>
      </c>
      <c r="EC171" s="2" t="s">
        <v>6</v>
      </c>
      <c r="ED171" s="2"/>
      <c r="EE171" s="2">
        <v>69252778</v>
      </c>
      <c r="EF171" s="2">
        <v>30</v>
      </c>
      <c r="EG171" s="2" t="s">
        <v>29</v>
      </c>
      <c r="EH171" s="2">
        <v>0</v>
      </c>
      <c r="EI171" s="2" t="s">
        <v>6</v>
      </c>
      <c r="EJ171" s="2">
        <v>1</v>
      </c>
      <c r="EK171" s="2">
        <v>153</v>
      </c>
      <c r="EL171" s="2" t="s">
        <v>206</v>
      </c>
      <c r="EM171" s="2" t="s">
        <v>207</v>
      </c>
      <c r="EN171" s="2"/>
      <c r="EO171" s="2" t="s">
        <v>6</v>
      </c>
      <c r="EP171" s="2"/>
      <c r="EQ171" s="2">
        <v>0</v>
      </c>
      <c r="ER171" s="2">
        <v>134.06</v>
      </c>
      <c r="ES171" s="2">
        <v>0</v>
      </c>
      <c r="ET171" s="2">
        <v>0</v>
      </c>
      <c r="EU171" s="2">
        <v>0</v>
      </c>
      <c r="EV171" s="2">
        <v>134.06</v>
      </c>
      <c r="EW171" s="2">
        <v>11.4</v>
      </c>
      <c r="EX171" s="2">
        <v>0</v>
      </c>
      <c r="EY171" s="2">
        <v>0</v>
      </c>
      <c r="EZ171" s="2"/>
      <c r="FA171" s="2"/>
      <c r="FB171" s="2"/>
      <c r="FC171" s="2"/>
      <c r="FD171" s="2"/>
      <c r="FE171" s="2"/>
      <c r="FF171" s="2"/>
      <c r="FG171" s="2"/>
      <c r="FH171" s="2"/>
      <c r="FI171" s="2"/>
      <c r="FJ171" s="2"/>
      <c r="FK171" s="2"/>
      <c r="FL171" s="2"/>
      <c r="FM171" s="2"/>
      <c r="FN171" s="2"/>
      <c r="FO171" s="2"/>
      <c r="FP171" s="2"/>
      <c r="FQ171" s="2">
        <v>0</v>
      </c>
      <c r="FR171" s="2">
        <f t="shared" si="194"/>
        <v>0</v>
      </c>
      <c r="FS171" s="2">
        <v>0</v>
      </c>
      <c r="FT171" s="2"/>
      <c r="FU171" s="2"/>
      <c r="FV171" s="2"/>
      <c r="FW171" s="2"/>
      <c r="FX171" s="2">
        <v>161</v>
      </c>
      <c r="FY171" s="2">
        <v>107</v>
      </c>
      <c r="FZ171" s="2"/>
      <c r="GA171" s="2" t="s">
        <v>6</v>
      </c>
      <c r="GB171" s="2"/>
      <c r="GC171" s="2"/>
      <c r="GD171" s="2">
        <v>0</v>
      </c>
      <c r="GE171" s="2"/>
      <c r="GF171" s="2">
        <v>487839153</v>
      </c>
      <c r="GG171" s="2">
        <v>2</v>
      </c>
      <c r="GH171" s="2">
        <v>1</v>
      </c>
      <c r="GI171" s="2">
        <v>-2</v>
      </c>
      <c r="GJ171" s="2">
        <v>0</v>
      </c>
      <c r="GK171" s="2">
        <f>ROUND(R171*(R12)/100,2)</f>
        <v>0</v>
      </c>
      <c r="GL171" s="2">
        <f t="shared" si="195"/>
        <v>0</v>
      </c>
      <c r="GM171" s="2">
        <f t="shared" si="196"/>
        <v>782.22</v>
      </c>
      <c r="GN171" s="2">
        <f t="shared" si="197"/>
        <v>782.22</v>
      </c>
      <c r="GO171" s="2">
        <f t="shared" si="198"/>
        <v>0</v>
      </c>
      <c r="GP171" s="2">
        <f t="shared" si="199"/>
        <v>0</v>
      </c>
      <c r="GQ171" s="2"/>
      <c r="GR171" s="2">
        <v>0</v>
      </c>
      <c r="GS171" s="2">
        <v>3</v>
      </c>
      <c r="GT171" s="2">
        <v>0</v>
      </c>
      <c r="GU171" s="2" t="s">
        <v>6</v>
      </c>
      <c r="GV171" s="2">
        <f t="shared" si="200"/>
        <v>0</v>
      </c>
      <c r="GW171" s="2">
        <v>1</v>
      </c>
      <c r="GX171" s="2">
        <f t="shared" si="201"/>
        <v>0</v>
      </c>
      <c r="GY171" s="2"/>
      <c r="GZ171" s="2"/>
      <c r="HA171" s="2">
        <v>0</v>
      </c>
      <c r="HB171" s="2">
        <v>0</v>
      </c>
      <c r="HC171" s="2">
        <f t="shared" si="202"/>
        <v>0</v>
      </c>
      <c r="HD171" s="2"/>
      <c r="HE171" s="2" t="s">
        <v>6</v>
      </c>
      <c r="HF171" s="2" t="s">
        <v>6</v>
      </c>
      <c r="HG171" s="2"/>
      <c r="HH171" s="2"/>
      <c r="HI171" s="2"/>
      <c r="HJ171" s="2"/>
      <c r="HK171" s="2"/>
      <c r="HL171" s="2"/>
      <c r="HM171" s="2" t="s">
        <v>6</v>
      </c>
      <c r="HN171" s="2" t="s">
        <v>6</v>
      </c>
      <c r="HO171" s="2" t="s">
        <v>6</v>
      </c>
      <c r="HP171" s="2" t="s">
        <v>6</v>
      </c>
      <c r="HQ171" s="2" t="s">
        <v>6</v>
      </c>
      <c r="HR171" s="2"/>
      <c r="HS171" s="2"/>
      <c r="HT171" s="2"/>
      <c r="HU171" s="2"/>
      <c r="HV171" s="2"/>
      <c r="HW171" s="2"/>
      <c r="HX171" s="2"/>
      <c r="HY171" s="2"/>
      <c r="HZ171" s="2"/>
      <c r="IA171" s="2"/>
      <c r="IB171" s="2"/>
      <c r="IC171" s="2"/>
      <c r="ID171" s="2"/>
      <c r="IE171" s="2"/>
      <c r="IF171" s="2"/>
      <c r="IG171" s="2"/>
      <c r="IH171" s="2"/>
      <c r="II171" s="2"/>
      <c r="IJ171" s="2"/>
      <c r="IK171" s="2">
        <v>0</v>
      </c>
      <c r="IL171" s="2"/>
      <c r="IM171" s="2"/>
      <c r="IN171" s="2"/>
      <c r="IO171" s="2"/>
      <c r="IP171" s="2"/>
      <c r="IQ171" s="2"/>
      <c r="IR171" s="2"/>
      <c r="IS171" s="2"/>
      <c r="IT171" s="2"/>
      <c r="IU171" s="2"/>
    </row>
    <row r="172" spans="1:255">
      <c r="A172">
        <v>17</v>
      </c>
      <c r="B172">
        <v>1</v>
      </c>
      <c r="E172" t="s">
        <v>201</v>
      </c>
      <c r="F172" t="s">
        <v>202</v>
      </c>
      <c r="G172" t="s">
        <v>203</v>
      </c>
      <c r="H172" t="s">
        <v>204</v>
      </c>
      <c r="I172">
        <f>ROUND((1514.4)/1000,9)</f>
        <v>1.5144</v>
      </c>
      <c r="J172">
        <v>0</v>
      </c>
      <c r="K172">
        <f>ROUND((1514.4)/1000,9)</f>
        <v>1.5144</v>
      </c>
      <c r="O172">
        <f t="shared" si="165"/>
        <v>9920.18</v>
      </c>
      <c r="P172">
        <f t="shared" si="166"/>
        <v>0</v>
      </c>
      <c r="Q172">
        <f t="shared" si="167"/>
        <v>0</v>
      </c>
      <c r="R172">
        <f t="shared" si="168"/>
        <v>0</v>
      </c>
      <c r="S172">
        <f t="shared" si="169"/>
        <v>9920.18</v>
      </c>
      <c r="T172">
        <f t="shared" si="170"/>
        <v>0</v>
      </c>
      <c r="U172">
        <f t="shared" si="171"/>
        <v>18.075575520000001</v>
      </c>
      <c r="V172">
        <f t="shared" si="172"/>
        <v>0</v>
      </c>
      <c r="W172">
        <f t="shared" si="173"/>
        <v>0</v>
      </c>
      <c r="X172">
        <f t="shared" si="174"/>
        <v>13293.04</v>
      </c>
      <c r="Y172">
        <f t="shared" si="175"/>
        <v>5456.1</v>
      </c>
      <c r="AA172">
        <v>70322059</v>
      </c>
      <c r="AB172">
        <f t="shared" si="176"/>
        <v>134.06</v>
      </c>
      <c r="AC172">
        <f t="shared" si="177"/>
        <v>0</v>
      </c>
      <c r="AD172">
        <f t="shared" si="178"/>
        <v>0</v>
      </c>
      <c r="AE172">
        <f t="shared" si="179"/>
        <v>0</v>
      </c>
      <c r="AF172">
        <f t="shared" si="180"/>
        <v>134.06</v>
      </c>
      <c r="AG172">
        <f t="shared" si="181"/>
        <v>0</v>
      </c>
      <c r="AH172">
        <f t="shared" si="182"/>
        <v>11.4</v>
      </c>
      <c r="AI172">
        <f t="shared" si="183"/>
        <v>0</v>
      </c>
      <c r="AJ172">
        <f t="shared" si="184"/>
        <v>0</v>
      </c>
      <c r="AK172">
        <v>134.06</v>
      </c>
      <c r="AL172">
        <v>0</v>
      </c>
      <c r="AM172">
        <v>0</v>
      </c>
      <c r="AN172">
        <v>0</v>
      </c>
      <c r="AO172">
        <v>134.06</v>
      </c>
      <c r="AP172">
        <v>0</v>
      </c>
      <c r="AQ172">
        <v>11.4</v>
      </c>
      <c r="AR172">
        <v>0</v>
      </c>
      <c r="AS172">
        <v>0</v>
      </c>
      <c r="AT172">
        <v>134</v>
      </c>
      <c r="AU172">
        <v>55</v>
      </c>
      <c r="AV172">
        <v>1.0469999999999999</v>
      </c>
      <c r="AW172">
        <v>1.03</v>
      </c>
      <c r="AZ172">
        <v>1</v>
      </c>
      <c r="BA172">
        <v>46.67</v>
      </c>
      <c r="BB172">
        <v>1</v>
      </c>
      <c r="BC172">
        <v>1</v>
      </c>
      <c r="BD172" t="s">
        <v>6</v>
      </c>
      <c r="BE172" t="s">
        <v>6</v>
      </c>
      <c r="BF172" t="s">
        <v>6</v>
      </c>
      <c r="BG172" t="s">
        <v>6</v>
      </c>
      <c r="BH172">
        <v>0</v>
      </c>
      <c r="BI172">
        <v>1</v>
      </c>
      <c r="BJ172" t="s">
        <v>205</v>
      </c>
      <c r="BM172">
        <v>153</v>
      </c>
      <c r="BN172">
        <v>0</v>
      </c>
      <c r="BO172" t="s">
        <v>202</v>
      </c>
      <c r="BP172">
        <v>1</v>
      </c>
      <c r="BQ172">
        <v>30</v>
      </c>
      <c r="BR172">
        <v>0</v>
      </c>
      <c r="BS172">
        <v>46.67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6</v>
      </c>
      <c r="BZ172">
        <v>134</v>
      </c>
      <c r="CA172">
        <v>55</v>
      </c>
      <c r="CB172" t="s">
        <v>6</v>
      </c>
      <c r="CE172">
        <v>30</v>
      </c>
      <c r="CF172">
        <v>0</v>
      </c>
      <c r="CG172">
        <v>0</v>
      </c>
      <c r="CM172">
        <v>0</v>
      </c>
      <c r="CN172" t="s">
        <v>6</v>
      </c>
      <c r="CO172">
        <v>0</v>
      </c>
      <c r="CP172">
        <f t="shared" si="185"/>
        <v>9920.18</v>
      </c>
      <c r="CQ172">
        <f t="shared" si="186"/>
        <v>0</v>
      </c>
      <c r="CR172">
        <f t="shared" si="187"/>
        <v>0</v>
      </c>
      <c r="CS172">
        <f t="shared" si="188"/>
        <v>0</v>
      </c>
      <c r="CT172">
        <f t="shared" si="189"/>
        <v>6550.6</v>
      </c>
      <c r="CU172">
        <f t="shared" si="190"/>
        <v>0</v>
      </c>
      <c r="CV172">
        <f t="shared" si="191"/>
        <v>11.9358</v>
      </c>
      <c r="CW172">
        <f t="shared" si="192"/>
        <v>0</v>
      </c>
      <c r="CX172">
        <f t="shared" si="193"/>
        <v>0</v>
      </c>
      <c r="CY172">
        <f>S172*(BZ172/100)</f>
        <v>13293.041200000001</v>
      </c>
      <c r="CZ172">
        <f>S172*(CA172/100)</f>
        <v>5456.0990000000002</v>
      </c>
      <c r="DC172" t="s">
        <v>6</v>
      </c>
      <c r="DD172" t="s">
        <v>6</v>
      </c>
      <c r="DE172" t="s">
        <v>6</v>
      </c>
      <c r="DF172" t="s">
        <v>6</v>
      </c>
      <c r="DG172" t="s">
        <v>6</v>
      </c>
      <c r="DH172" t="s">
        <v>6</v>
      </c>
      <c r="DI172" t="s">
        <v>6</v>
      </c>
      <c r="DJ172" t="s">
        <v>6</v>
      </c>
      <c r="DK172" t="s">
        <v>6</v>
      </c>
      <c r="DL172" t="s">
        <v>6</v>
      </c>
      <c r="DM172" t="s">
        <v>6</v>
      </c>
      <c r="DN172">
        <v>161</v>
      </c>
      <c r="DO172">
        <v>107</v>
      </c>
      <c r="DP172">
        <v>1.0469999999999999</v>
      </c>
      <c r="DQ172">
        <v>1.03</v>
      </c>
      <c r="DU172">
        <v>1013</v>
      </c>
      <c r="DV172" t="s">
        <v>204</v>
      </c>
      <c r="DW172" t="s">
        <v>204</v>
      </c>
      <c r="DX172">
        <v>1</v>
      </c>
      <c r="DZ172" t="s">
        <v>6</v>
      </c>
      <c r="EA172" t="s">
        <v>6</v>
      </c>
      <c r="EB172" t="s">
        <v>6</v>
      </c>
      <c r="EC172" t="s">
        <v>6</v>
      </c>
      <c r="EE172">
        <v>69252778</v>
      </c>
      <c r="EF172">
        <v>30</v>
      </c>
      <c r="EG172" t="s">
        <v>29</v>
      </c>
      <c r="EH172">
        <v>0</v>
      </c>
      <c r="EI172" t="s">
        <v>6</v>
      </c>
      <c r="EJ172">
        <v>1</v>
      </c>
      <c r="EK172">
        <v>153</v>
      </c>
      <c r="EL172" t="s">
        <v>206</v>
      </c>
      <c r="EM172" t="s">
        <v>207</v>
      </c>
      <c r="EO172" t="s">
        <v>6</v>
      </c>
      <c r="EQ172">
        <v>0</v>
      </c>
      <c r="ER172">
        <v>134.06</v>
      </c>
      <c r="ES172">
        <v>0</v>
      </c>
      <c r="ET172">
        <v>0</v>
      </c>
      <c r="EU172">
        <v>0</v>
      </c>
      <c r="EV172">
        <v>134.06</v>
      </c>
      <c r="EW172">
        <v>11.4</v>
      </c>
      <c r="EX172">
        <v>0</v>
      </c>
      <c r="EY172">
        <v>0</v>
      </c>
      <c r="FQ172">
        <v>0</v>
      </c>
      <c r="FR172">
        <f t="shared" si="194"/>
        <v>0</v>
      </c>
      <c r="FS172">
        <v>0</v>
      </c>
      <c r="FX172">
        <v>161</v>
      </c>
      <c r="FY172">
        <v>107</v>
      </c>
      <c r="GA172" t="s">
        <v>6</v>
      </c>
      <c r="GD172">
        <v>0</v>
      </c>
      <c r="GF172">
        <v>487839153</v>
      </c>
      <c r="GG172">
        <v>2</v>
      </c>
      <c r="GH172">
        <v>1</v>
      </c>
      <c r="GI172">
        <v>2</v>
      </c>
      <c r="GJ172">
        <v>0</v>
      </c>
      <c r="GK172">
        <f>ROUND(R172*(S12)/100,2)</f>
        <v>0</v>
      </c>
      <c r="GL172">
        <f t="shared" si="195"/>
        <v>0</v>
      </c>
      <c r="GM172">
        <f t="shared" si="196"/>
        <v>28669.32</v>
      </c>
      <c r="GN172">
        <f t="shared" si="197"/>
        <v>28669.32</v>
      </c>
      <c r="GO172">
        <f t="shared" si="198"/>
        <v>0</v>
      </c>
      <c r="GP172">
        <f t="shared" si="199"/>
        <v>0</v>
      </c>
      <c r="GR172">
        <v>0</v>
      </c>
      <c r="GS172">
        <v>0</v>
      </c>
      <c r="GT172">
        <v>0</v>
      </c>
      <c r="GU172" t="s">
        <v>6</v>
      </c>
      <c r="GV172">
        <f t="shared" si="200"/>
        <v>0</v>
      </c>
      <c r="GW172">
        <v>1</v>
      </c>
      <c r="GX172">
        <f t="shared" si="201"/>
        <v>0</v>
      </c>
      <c r="HA172">
        <v>0</v>
      </c>
      <c r="HB172">
        <v>0</v>
      </c>
      <c r="HC172">
        <f t="shared" si="202"/>
        <v>0</v>
      </c>
      <c r="HE172" t="s">
        <v>6</v>
      </c>
      <c r="HF172" t="s">
        <v>6</v>
      </c>
      <c r="HM172" t="s">
        <v>6</v>
      </c>
      <c r="HN172" t="s">
        <v>6</v>
      </c>
      <c r="HO172" t="s">
        <v>6</v>
      </c>
      <c r="HP172" t="s">
        <v>6</v>
      </c>
      <c r="HQ172" t="s">
        <v>6</v>
      </c>
      <c r="IK172">
        <v>0</v>
      </c>
    </row>
    <row r="173" spans="1:255">
      <c r="A173" s="2">
        <v>18</v>
      </c>
      <c r="B173" s="2">
        <v>1</v>
      </c>
      <c r="C173" s="2"/>
      <c r="D173" s="2"/>
      <c r="E173" s="2" t="s">
        <v>208</v>
      </c>
      <c r="F173" s="2" t="s">
        <v>209</v>
      </c>
      <c r="G173" s="2" t="s">
        <v>210</v>
      </c>
      <c r="H173" s="2" t="s">
        <v>156</v>
      </c>
      <c r="I173" s="2">
        <f>I171*J173</f>
        <v>1514.4</v>
      </c>
      <c r="J173" s="2">
        <v>1000.0000000000001</v>
      </c>
      <c r="K173" s="2">
        <v>1000</v>
      </c>
      <c r="L173" s="2"/>
      <c r="M173" s="2"/>
      <c r="N173" s="2"/>
      <c r="O173" s="2">
        <f t="shared" si="165"/>
        <v>32974.85</v>
      </c>
      <c r="P173" s="2">
        <f t="shared" si="166"/>
        <v>32974.85</v>
      </c>
      <c r="Q173" s="2">
        <f t="shared" si="167"/>
        <v>0</v>
      </c>
      <c r="R173" s="2">
        <f t="shared" si="168"/>
        <v>0</v>
      </c>
      <c r="S173" s="2">
        <f t="shared" si="169"/>
        <v>0</v>
      </c>
      <c r="T173" s="2">
        <f t="shared" si="170"/>
        <v>0</v>
      </c>
      <c r="U173" s="2">
        <f t="shared" si="171"/>
        <v>0</v>
      </c>
      <c r="V173" s="2">
        <f t="shared" si="172"/>
        <v>0</v>
      </c>
      <c r="W173" s="2">
        <f t="shared" si="173"/>
        <v>0</v>
      </c>
      <c r="X173" s="2">
        <f t="shared" si="174"/>
        <v>0</v>
      </c>
      <c r="Y173" s="2">
        <f t="shared" si="175"/>
        <v>0</v>
      </c>
      <c r="Z173" s="2"/>
      <c r="AA173" s="2">
        <v>70322058</v>
      </c>
      <c r="AB173" s="2">
        <f t="shared" si="176"/>
        <v>21.14</v>
      </c>
      <c r="AC173" s="2">
        <f t="shared" si="177"/>
        <v>21.14</v>
      </c>
      <c r="AD173" s="2">
        <f t="shared" si="178"/>
        <v>0</v>
      </c>
      <c r="AE173" s="2">
        <f t="shared" si="179"/>
        <v>0</v>
      </c>
      <c r="AF173" s="2">
        <f t="shared" si="180"/>
        <v>0</v>
      </c>
      <c r="AG173" s="2">
        <f t="shared" si="181"/>
        <v>0</v>
      </c>
      <c r="AH173" s="2">
        <f t="shared" si="182"/>
        <v>0</v>
      </c>
      <c r="AI173" s="2">
        <f t="shared" si="183"/>
        <v>0</v>
      </c>
      <c r="AJ173" s="2">
        <f t="shared" si="184"/>
        <v>0</v>
      </c>
      <c r="AK173" s="2">
        <v>21.14</v>
      </c>
      <c r="AL173" s="2">
        <v>21.14</v>
      </c>
      <c r="AM173" s="2">
        <v>0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161</v>
      </c>
      <c r="AU173" s="2">
        <v>107</v>
      </c>
      <c r="AV173" s="2">
        <v>1.0469999999999999</v>
      </c>
      <c r="AW173" s="2">
        <v>1.03</v>
      </c>
      <c r="AX173" s="2"/>
      <c r="AY173" s="2"/>
      <c r="AZ173" s="2">
        <v>1</v>
      </c>
      <c r="BA173" s="2">
        <v>1</v>
      </c>
      <c r="BB173" s="2">
        <v>1</v>
      </c>
      <c r="BC173" s="2">
        <v>1</v>
      </c>
      <c r="BD173" s="2" t="s">
        <v>6</v>
      </c>
      <c r="BE173" s="2" t="s">
        <v>6</v>
      </c>
      <c r="BF173" s="2" t="s">
        <v>6</v>
      </c>
      <c r="BG173" s="2" t="s">
        <v>6</v>
      </c>
      <c r="BH173" s="2">
        <v>3</v>
      </c>
      <c r="BI173" s="2">
        <v>1</v>
      </c>
      <c r="BJ173" s="2" t="s">
        <v>211</v>
      </c>
      <c r="BK173" s="2"/>
      <c r="BL173" s="2"/>
      <c r="BM173" s="2">
        <v>153</v>
      </c>
      <c r="BN173" s="2">
        <v>0</v>
      </c>
      <c r="BO173" s="2" t="s">
        <v>6</v>
      </c>
      <c r="BP173" s="2">
        <v>0</v>
      </c>
      <c r="BQ173" s="2">
        <v>30</v>
      </c>
      <c r="BR173" s="2">
        <v>0</v>
      </c>
      <c r="BS173" s="2">
        <v>1</v>
      </c>
      <c r="BT173" s="2">
        <v>1</v>
      </c>
      <c r="BU173" s="2">
        <v>1</v>
      </c>
      <c r="BV173" s="2">
        <v>1</v>
      </c>
      <c r="BW173" s="2">
        <v>1</v>
      </c>
      <c r="BX173" s="2">
        <v>1</v>
      </c>
      <c r="BY173" s="2" t="s">
        <v>6</v>
      </c>
      <c r="BZ173" s="2">
        <v>161</v>
      </c>
      <c r="CA173" s="2">
        <v>107</v>
      </c>
      <c r="CB173" s="2" t="s">
        <v>6</v>
      </c>
      <c r="CC173" s="2"/>
      <c r="CD173" s="2"/>
      <c r="CE173" s="2">
        <v>30</v>
      </c>
      <c r="CF173" s="2">
        <v>0</v>
      </c>
      <c r="CG173" s="2">
        <v>0</v>
      </c>
      <c r="CH173" s="2"/>
      <c r="CI173" s="2"/>
      <c r="CJ173" s="2"/>
      <c r="CK173" s="2"/>
      <c r="CL173" s="2"/>
      <c r="CM173" s="2">
        <v>0</v>
      </c>
      <c r="CN173" s="2" t="s">
        <v>6</v>
      </c>
      <c r="CO173" s="2">
        <v>0</v>
      </c>
      <c r="CP173" s="2">
        <f t="shared" si="185"/>
        <v>32974.85</v>
      </c>
      <c r="CQ173" s="2">
        <f t="shared" si="186"/>
        <v>21.77</v>
      </c>
      <c r="CR173" s="2">
        <f t="shared" si="187"/>
        <v>0</v>
      </c>
      <c r="CS173" s="2">
        <f t="shared" si="188"/>
        <v>0</v>
      </c>
      <c r="CT173" s="2">
        <f t="shared" si="189"/>
        <v>0</v>
      </c>
      <c r="CU173" s="2">
        <f t="shared" si="190"/>
        <v>0</v>
      </c>
      <c r="CV173" s="2">
        <f t="shared" si="191"/>
        <v>0</v>
      </c>
      <c r="CW173" s="2">
        <f t="shared" si="192"/>
        <v>0</v>
      </c>
      <c r="CX173" s="2">
        <f t="shared" si="193"/>
        <v>0</v>
      </c>
      <c r="CY173" s="2">
        <f>((S173*BZ173)/100)</f>
        <v>0</v>
      </c>
      <c r="CZ173" s="2">
        <f>((S173*CA173)/100)</f>
        <v>0</v>
      </c>
      <c r="DA173" s="2"/>
      <c r="DB173" s="2"/>
      <c r="DC173" s="2" t="s">
        <v>6</v>
      </c>
      <c r="DD173" s="2" t="s">
        <v>6</v>
      </c>
      <c r="DE173" s="2" t="s">
        <v>6</v>
      </c>
      <c r="DF173" s="2" t="s">
        <v>6</v>
      </c>
      <c r="DG173" s="2" t="s">
        <v>6</v>
      </c>
      <c r="DH173" s="2" t="s">
        <v>6</v>
      </c>
      <c r="DI173" s="2" t="s">
        <v>6</v>
      </c>
      <c r="DJ173" s="2" t="s">
        <v>6</v>
      </c>
      <c r="DK173" s="2" t="s">
        <v>6</v>
      </c>
      <c r="DL173" s="2" t="s">
        <v>6</v>
      </c>
      <c r="DM173" s="2" t="s">
        <v>6</v>
      </c>
      <c r="DN173" s="2">
        <v>0</v>
      </c>
      <c r="DO173" s="2">
        <v>0</v>
      </c>
      <c r="DP173" s="2">
        <v>1</v>
      </c>
      <c r="DQ173" s="2">
        <v>1</v>
      </c>
      <c r="DR173" s="2"/>
      <c r="DS173" s="2"/>
      <c r="DT173" s="2"/>
      <c r="DU173" s="2">
        <v>1005</v>
      </c>
      <c r="DV173" s="2" t="s">
        <v>156</v>
      </c>
      <c r="DW173" s="2" t="s">
        <v>156</v>
      </c>
      <c r="DX173" s="2">
        <v>1</v>
      </c>
      <c r="DY173" s="2"/>
      <c r="DZ173" s="2" t="s">
        <v>6</v>
      </c>
      <c r="EA173" s="2" t="s">
        <v>6</v>
      </c>
      <c r="EB173" s="2" t="s">
        <v>6</v>
      </c>
      <c r="EC173" s="2" t="s">
        <v>6</v>
      </c>
      <c r="ED173" s="2"/>
      <c r="EE173" s="2">
        <v>69252778</v>
      </c>
      <c r="EF173" s="2">
        <v>30</v>
      </c>
      <c r="EG173" s="2" t="s">
        <v>29</v>
      </c>
      <c r="EH173" s="2">
        <v>0</v>
      </c>
      <c r="EI173" s="2" t="s">
        <v>6</v>
      </c>
      <c r="EJ173" s="2">
        <v>1</v>
      </c>
      <c r="EK173" s="2">
        <v>153</v>
      </c>
      <c r="EL173" s="2" t="s">
        <v>206</v>
      </c>
      <c r="EM173" s="2" t="s">
        <v>207</v>
      </c>
      <c r="EN173" s="2"/>
      <c r="EO173" s="2" t="s">
        <v>6</v>
      </c>
      <c r="EP173" s="2"/>
      <c r="EQ173" s="2">
        <v>0</v>
      </c>
      <c r="ER173" s="2">
        <v>21.14</v>
      </c>
      <c r="ES173" s="2">
        <v>21.14</v>
      </c>
      <c r="ET173" s="2">
        <v>0</v>
      </c>
      <c r="EU173" s="2">
        <v>0</v>
      </c>
      <c r="EV173" s="2">
        <v>0</v>
      </c>
      <c r="EW173" s="2">
        <v>0</v>
      </c>
      <c r="EX173" s="2">
        <v>0</v>
      </c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>
        <v>0</v>
      </c>
      <c r="FR173" s="2">
        <f t="shared" si="194"/>
        <v>0</v>
      </c>
      <c r="FS173" s="2">
        <v>0</v>
      </c>
      <c r="FT173" s="2"/>
      <c r="FU173" s="2"/>
      <c r="FV173" s="2"/>
      <c r="FW173" s="2"/>
      <c r="FX173" s="2">
        <v>161</v>
      </c>
      <c r="FY173" s="2">
        <v>107</v>
      </c>
      <c r="FZ173" s="2"/>
      <c r="GA173" s="2" t="s">
        <v>6</v>
      </c>
      <c r="GB173" s="2"/>
      <c r="GC173" s="2"/>
      <c r="GD173" s="2">
        <v>0</v>
      </c>
      <c r="GE173" s="2"/>
      <c r="GF173" s="2">
        <v>-1622791511</v>
      </c>
      <c r="GG173" s="2">
        <v>2</v>
      </c>
      <c r="GH173" s="2">
        <v>1</v>
      </c>
      <c r="GI173" s="2">
        <v>-2</v>
      </c>
      <c r="GJ173" s="2">
        <v>0</v>
      </c>
      <c r="GK173" s="2">
        <f>ROUND(R173*(R12)/100,2)</f>
        <v>0</v>
      </c>
      <c r="GL173" s="2">
        <f t="shared" si="195"/>
        <v>0</v>
      </c>
      <c r="GM173" s="2">
        <f t="shared" si="196"/>
        <v>32974.85</v>
      </c>
      <c r="GN173" s="2">
        <f t="shared" si="197"/>
        <v>32974.85</v>
      </c>
      <c r="GO173" s="2">
        <f t="shared" si="198"/>
        <v>0</v>
      </c>
      <c r="GP173" s="2">
        <f t="shared" si="199"/>
        <v>0</v>
      </c>
      <c r="GQ173" s="2"/>
      <c r="GR173" s="2">
        <v>0</v>
      </c>
      <c r="GS173" s="2">
        <v>3</v>
      </c>
      <c r="GT173" s="2">
        <v>0</v>
      </c>
      <c r="GU173" s="2" t="s">
        <v>6</v>
      </c>
      <c r="GV173" s="2">
        <f t="shared" si="200"/>
        <v>0</v>
      </c>
      <c r="GW173" s="2">
        <v>1</v>
      </c>
      <c r="GX173" s="2">
        <f t="shared" si="201"/>
        <v>0</v>
      </c>
      <c r="GY173" s="2"/>
      <c r="GZ173" s="2"/>
      <c r="HA173" s="2">
        <v>0</v>
      </c>
      <c r="HB173" s="2">
        <v>0</v>
      </c>
      <c r="HC173" s="2">
        <f t="shared" si="202"/>
        <v>0</v>
      </c>
      <c r="HD173" s="2"/>
      <c r="HE173" s="2" t="s">
        <v>6</v>
      </c>
      <c r="HF173" s="2" t="s">
        <v>6</v>
      </c>
      <c r="HG173" s="2"/>
      <c r="HH173" s="2"/>
      <c r="HI173" s="2"/>
      <c r="HJ173" s="2"/>
      <c r="HK173" s="2"/>
      <c r="HL173" s="2"/>
      <c r="HM173" s="2" t="s">
        <v>6</v>
      </c>
      <c r="HN173" s="2" t="s">
        <v>6</v>
      </c>
      <c r="HO173" s="2" t="s">
        <v>6</v>
      </c>
      <c r="HP173" s="2" t="s">
        <v>6</v>
      </c>
      <c r="HQ173" s="2" t="s">
        <v>6</v>
      </c>
      <c r="HR173" s="2"/>
      <c r="HS173" s="2"/>
      <c r="HT173" s="2"/>
      <c r="HU173" s="2"/>
      <c r="HV173" s="2"/>
      <c r="HW173" s="2"/>
      <c r="HX173" s="2"/>
      <c r="HY173" s="2"/>
      <c r="HZ173" s="2"/>
      <c r="IA173" s="2"/>
      <c r="IB173" s="2"/>
      <c r="IC173" s="2"/>
      <c r="ID173" s="2"/>
      <c r="IE173" s="2"/>
      <c r="IF173" s="2"/>
      <c r="IG173" s="2"/>
      <c r="IH173" s="2"/>
      <c r="II173" s="2"/>
      <c r="IJ173" s="2"/>
      <c r="IK173" s="2">
        <v>0</v>
      </c>
      <c r="IL173" s="2"/>
      <c r="IM173" s="2"/>
      <c r="IN173" s="2"/>
      <c r="IO173" s="2"/>
      <c r="IP173" s="2"/>
      <c r="IQ173" s="2"/>
      <c r="IR173" s="2"/>
      <c r="IS173" s="2"/>
      <c r="IT173" s="2"/>
      <c r="IU173" s="2"/>
    </row>
    <row r="174" spans="1:255">
      <c r="A174">
        <v>18</v>
      </c>
      <c r="B174">
        <v>1</v>
      </c>
      <c r="E174" t="s">
        <v>208</v>
      </c>
      <c r="F174" t="s">
        <v>209</v>
      </c>
      <c r="G174" t="s">
        <v>210</v>
      </c>
      <c r="H174" t="s">
        <v>156</v>
      </c>
      <c r="I174">
        <f>I172*J174</f>
        <v>1514.4</v>
      </c>
      <c r="J174">
        <v>1000.0000000000001</v>
      </c>
      <c r="K174">
        <v>1000</v>
      </c>
      <c r="O174">
        <f t="shared" si="165"/>
        <v>261160.81</v>
      </c>
      <c r="P174">
        <f t="shared" si="166"/>
        <v>261160.81</v>
      </c>
      <c r="Q174">
        <f t="shared" si="167"/>
        <v>0</v>
      </c>
      <c r="R174">
        <f t="shared" si="168"/>
        <v>0</v>
      </c>
      <c r="S174">
        <f t="shared" si="169"/>
        <v>0</v>
      </c>
      <c r="T174">
        <f t="shared" si="170"/>
        <v>0</v>
      </c>
      <c r="U174">
        <f t="shared" si="171"/>
        <v>0</v>
      </c>
      <c r="V174">
        <f t="shared" si="172"/>
        <v>0</v>
      </c>
      <c r="W174">
        <f t="shared" si="173"/>
        <v>0</v>
      </c>
      <c r="X174">
        <f t="shared" si="174"/>
        <v>0</v>
      </c>
      <c r="Y174">
        <f t="shared" si="175"/>
        <v>0</v>
      </c>
      <c r="AA174">
        <v>70322059</v>
      </c>
      <c r="AB174">
        <f t="shared" si="176"/>
        <v>21.14</v>
      </c>
      <c r="AC174">
        <f t="shared" si="177"/>
        <v>21.14</v>
      </c>
      <c r="AD174">
        <f t="shared" si="178"/>
        <v>0</v>
      </c>
      <c r="AE174">
        <f t="shared" si="179"/>
        <v>0</v>
      </c>
      <c r="AF174">
        <f t="shared" si="180"/>
        <v>0</v>
      </c>
      <c r="AG174">
        <f t="shared" si="181"/>
        <v>0</v>
      </c>
      <c r="AH174">
        <f t="shared" si="182"/>
        <v>0</v>
      </c>
      <c r="AI174">
        <f t="shared" si="183"/>
        <v>0</v>
      </c>
      <c r="AJ174">
        <f t="shared" si="184"/>
        <v>0</v>
      </c>
      <c r="AK174">
        <v>21.14</v>
      </c>
      <c r="AL174">
        <v>21.14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1.0469999999999999</v>
      </c>
      <c r="AW174">
        <v>1.03</v>
      </c>
      <c r="AZ174">
        <v>1</v>
      </c>
      <c r="BA174">
        <v>1</v>
      </c>
      <c r="BB174">
        <v>1</v>
      </c>
      <c r="BC174">
        <v>7.92</v>
      </c>
      <c r="BD174" t="s">
        <v>6</v>
      </c>
      <c r="BE174" t="s">
        <v>6</v>
      </c>
      <c r="BF174" t="s">
        <v>6</v>
      </c>
      <c r="BG174" t="s">
        <v>6</v>
      </c>
      <c r="BH174">
        <v>3</v>
      </c>
      <c r="BI174">
        <v>1</v>
      </c>
      <c r="BJ174" t="s">
        <v>211</v>
      </c>
      <c r="BM174">
        <v>153</v>
      </c>
      <c r="BN174">
        <v>0</v>
      </c>
      <c r="BO174" t="s">
        <v>209</v>
      </c>
      <c r="BP174">
        <v>1</v>
      </c>
      <c r="BQ174">
        <v>30</v>
      </c>
      <c r="BR174">
        <v>0</v>
      </c>
      <c r="BS174">
        <v>1</v>
      </c>
      <c r="BT174">
        <v>1</v>
      </c>
      <c r="BU174">
        <v>1</v>
      </c>
      <c r="BV174">
        <v>1</v>
      </c>
      <c r="BW174">
        <v>1</v>
      </c>
      <c r="BX174">
        <v>1</v>
      </c>
      <c r="BY174" t="s">
        <v>6</v>
      </c>
      <c r="BZ174">
        <v>0</v>
      </c>
      <c r="CA174">
        <v>0</v>
      </c>
      <c r="CB174" t="s">
        <v>6</v>
      </c>
      <c r="CE174">
        <v>30</v>
      </c>
      <c r="CF174">
        <v>0</v>
      </c>
      <c r="CG174">
        <v>0</v>
      </c>
      <c r="CM174">
        <v>0</v>
      </c>
      <c r="CN174" t="s">
        <v>6</v>
      </c>
      <c r="CO174">
        <v>0</v>
      </c>
      <c r="CP174">
        <f t="shared" si="185"/>
        <v>261160.81</v>
      </c>
      <c r="CQ174">
        <f t="shared" si="186"/>
        <v>172.42</v>
      </c>
      <c r="CR174">
        <f t="shared" si="187"/>
        <v>0</v>
      </c>
      <c r="CS174">
        <f t="shared" si="188"/>
        <v>0</v>
      </c>
      <c r="CT174">
        <f t="shared" si="189"/>
        <v>0</v>
      </c>
      <c r="CU174">
        <f t="shared" si="190"/>
        <v>0</v>
      </c>
      <c r="CV174">
        <f t="shared" si="191"/>
        <v>0</v>
      </c>
      <c r="CW174">
        <f t="shared" si="192"/>
        <v>0</v>
      </c>
      <c r="CX174">
        <f t="shared" si="193"/>
        <v>0</v>
      </c>
      <c r="CY174">
        <f>S174*(BZ174/100)</f>
        <v>0</v>
      </c>
      <c r="CZ174">
        <f>S174*(CA174/100)</f>
        <v>0</v>
      </c>
      <c r="DC174" t="s">
        <v>6</v>
      </c>
      <c r="DD174" t="s">
        <v>6</v>
      </c>
      <c r="DE174" t="s">
        <v>6</v>
      </c>
      <c r="DF174" t="s">
        <v>6</v>
      </c>
      <c r="DG174" t="s">
        <v>6</v>
      </c>
      <c r="DH174" t="s">
        <v>6</v>
      </c>
      <c r="DI174" t="s">
        <v>6</v>
      </c>
      <c r="DJ174" t="s">
        <v>6</v>
      </c>
      <c r="DK174" t="s">
        <v>6</v>
      </c>
      <c r="DL174" t="s">
        <v>6</v>
      </c>
      <c r="DM174" t="s">
        <v>6</v>
      </c>
      <c r="DN174">
        <v>161</v>
      </c>
      <c r="DO174">
        <v>107</v>
      </c>
      <c r="DP174">
        <v>1.0469999999999999</v>
      </c>
      <c r="DQ174">
        <v>1.03</v>
      </c>
      <c r="DU174">
        <v>1005</v>
      </c>
      <c r="DV174" t="s">
        <v>156</v>
      </c>
      <c r="DW174" t="s">
        <v>156</v>
      </c>
      <c r="DX174">
        <v>1</v>
      </c>
      <c r="DZ174" t="s">
        <v>6</v>
      </c>
      <c r="EA174" t="s">
        <v>6</v>
      </c>
      <c r="EB174" t="s">
        <v>6</v>
      </c>
      <c r="EC174" t="s">
        <v>6</v>
      </c>
      <c r="EE174">
        <v>69252778</v>
      </c>
      <c r="EF174">
        <v>30</v>
      </c>
      <c r="EG174" t="s">
        <v>29</v>
      </c>
      <c r="EH174">
        <v>0</v>
      </c>
      <c r="EI174" t="s">
        <v>6</v>
      </c>
      <c r="EJ174">
        <v>1</v>
      </c>
      <c r="EK174">
        <v>153</v>
      </c>
      <c r="EL174" t="s">
        <v>206</v>
      </c>
      <c r="EM174" t="s">
        <v>207</v>
      </c>
      <c r="EO174" t="s">
        <v>6</v>
      </c>
      <c r="EQ174">
        <v>0</v>
      </c>
      <c r="ER174">
        <v>21.14</v>
      </c>
      <c r="ES174">
        <v>21.14</v>
      </c>
      <c r="ET174">
        <v>0</v>
      </c>
      <c r="EU174">
        <v>0</v>
      </c>
      <c r="EV174">
        <v>0</v>
      </c>
      <c r="EW174">
        <v>0</v>
      </c>
      <c r="EX174">
        <v>0</v>
      </c>
      <c r="FQ174">
        <v>0</v>
      </c>
      <c r="FR174">
        <f t="shared" si="194"/>
        <v>0</v>
      </c>
      <c r="FS174">
        <v>0</v>
      </c>
      <c r="FX174">
        <v>161</v>
      </c>
      <c r="FY174">
        <v>107</v>
      </c>
      <c r="GA174" t="s">
        <v>6</v>
      </c>
      <c r="GD174">
        <v>0</v>
      </c>
      <c r="GF174">
        <v>-1622791511</v>
      </c>
      <c r="GG174">
        <v>2</v>
      </c>
      <c r="GH174">
        <v>1</v>
      </c>
      <c r="GI174">
        <v>2</v>
      </c>
      <c r="GJ174">
        <v>0</v>
      </c>
      <c r="GK174">
        <f>ROUND(R174*(S12)/100,2)</f>
        <v>0</v>
      </c>
      <c r="GL174">
        <f t="shared" si="195"/>
        <v>0</v>
      </c>
      <c r="GM174">
        <f t="shared" si="196"/>
        <v>261160.81</v>
      </c>
      <c r="GN174">
        <f t="shared" si="197"/>
        <v>261160.81</v>
      </c>
      <c r="GO174">
        <f t="shared" si="198"/>
        <v>0</v>
      </c>
      <c r="GP174">
        <f t="shared" si="199"/>
        <v>0</v>
      </c>
      <c r="GR174">
        <v>0</v>
      </c>
      <c r="GS174">
        <v>0</v>
      </c>
      <c r="GT174">
        <v>0</v>
      </c>
      <c r="GU174" t="s">
        <v>6</v>
      </c>
      <c r="GV174">
        <f t="shared" si="200"/>
        <v>0</v>
      </c>
      <c r="GW174">
        <v>1</v>
      </c>
      <c r="GX174">
        <f t="shared" si="201"/>
        <v>0</v>
      </c>
      <c r="HA174">
        <v>0</v>
      </c>
      <c r="HB174">
        <v>0</v>
      </c>
      <c r="HC174">
        <f t="shared" si="202"/>
        <v>0</v>
      </c>
      <c r="HE174" t="s">
        <v>6</v>
      </c>
      <c r="HF174" t="s">
        <v>6</v>
      </c>
      <c r="HM174" t="s">
        <v>6</v>
      </c>
      <c r="HN174" t="s">
        <v>6</v>
      </c>
      <c r="HO174" t="s">
        <v>6</v>
      </c>
      <c r="HP174" t="s">
        <v>6</v>
      </c>
      <c r="HQ174" t="s">
        <v>6</v>
      </c>
      <c r="IK174">
        <v>0</v>
      </c>
    </row>
    <row r="175" spans="1:255">
      <c r="A175" s="2">
        <v>17</v>
      </c>
      <c r="B175" s="2">
        <v>1</v>
      </c>
      <c r="C175" s="2"/>
      <c r="D175" s="2"/>
      <c r="E175" s="2" t="s">
        <v>6</v>
      </c>
      <c r="F175" s="2" t="s">
        <v>212</v>
      </c>
      <c r="G175" s="2" t="s">
        <v>213</v>
      </c>
      <c r="H175" s="2" t="s">
        <v>193</v>
      </c>
      <c r="I175" s="2">
        <f>ROUND(10.9/1000,9)</f>
        <v>1.09E-2</v>
      </c>
      <c r="J175" s="2">
        <v>0</v>
      </c>
      <c r="K175" s="2">
        <f>ROUND(10.9/1000,9)</f>
        <v>1.09E-2</v>
      </c>
      <c r="L175" s="2"/>
      <c r="M175" s="2"/>
      <c r="N175" s="2"/>
      <c r="O175" s="2">
        <f t="shared" si="165"/>
        <v>3.95</v>
      </c>
      <c r="P175" s="2">
        <f t="shared" si="166"/>
        <v>1.92</v>
      </c>
      <c r="Q175" s="2">
        <f>(ROUND((ROUND((((ET175*3))*AV175*I175),2)*BB175),2)+ROUND((ROUND(((AE175-((EU175*3)))*AV175*I175),2)*BS175),2))</f>
        <v>0</v>
      </c>
      <c r="R175" s="2">
        <f t="shared" si="168"/>
        <v>0</v>
      </c>
      <c r="S175" s="2">
        <f t="shared" si="169"/>
        <v>2.0299999999999998</v>
      </c>
      <c r="T175" s="2">
        <f t="shared" si="170"/>
        <v>0</v>
      </c>
      <c r="U175" s="2">
        <f t="shared" si="171"/>
        <v>0.17700477299999998</v>
      </c>
      <c r="V175" s="2">
        <f t="shared" si="172"/>
        <v>0</v>
      </c>
      <c r="W175" s="2">
        <f t="shared" si="173"/>
        <v>0</v>
      </c>
      <c r="X175" s="2">
        <f t="shared" si="174"/>
        <v>3.27</v>
      </c>
      <c r="Y175" s="2">
        <f t="shared" si="175"/>
        <v>2.17</v>
      </c>
      <c r="Z175" s="2"/>
      <c r="AA175" s="2">
        <v>-1</v>
      </c>
      <c r="AB175" s="2">
        <f t="shared" si="176"/>
        <v>353.7</v>
      </c>
      <c r="AC175" s="2">
        <f>ROUND(((ES175*3)),6)</f>
        <v>175.8</v>
      </c>
      <c r="AD175" s="2">
        <f>ROUND(((((ET175*3))-((EU175*3)))+AE175),6)</f>
        <v>0</v>
      </c>
      <c r="AE175" s="2">
        <f>ROUND(((EU175*3)),6)</f>
        <v>0</v>
      </c>
      <c r="AF175" s="2">
        <f>ROUND(((EV175*3)),6)</f>
        <v>177.9</v>
      </c>
      <c r="AG175" s="2">
        <f t="shared" si="181"/>
        <v>0</v>
      </c>
      <c r="AH175" s="2">
        <f>((EW175*3))</f>
        <v>15.51</v>
      </c>
      <c r="AI175" s="2">
        <f>((EX175*3))</f>
        <v>0</v>
      </c>
      <c r="AJ175" s="2">
        <f t="shared" si="184"/>
        <v>0</v>
      </c>
      <c r="AK175" s="2">
        <v>117.9</v>
      </c>
      <c r="AL175" s="2">
        <v>58.6</v>
      </c>
      <c r="AM175" s="2">
        <v>0</v>
      </c>
      <c r="AN175" s="2">
        <v>0</v>
      </c>
      <c r="AO175" s="2">
        <v>59.3</v>
      </c>
      <c r="AP175" s="2">
        <v>0</v>
      </c>
      <c r="AQ175" s="2">
        <v>5.17</v>
      </c>
      <c r="AR175" s="2">
        <v>0</v>
      </c>
      <c r="AS175" s="2">
        <v>0</v>
      </c>
      <c r="AT175" s="2">
        <v>161</v>
      </c>
      <c r="AU175" s="2">
        <v>107</v>
      </c>
      <c r="AV175" s="2">
        <v>1.0469999999999999</v>
      </c>
      <c r="AW175" s="2">
        <v>1.002</v>
      </c>
      <c r="AX175" s="2"/>
      <c r="AY175" s="2"/>
      <c r="AZ175" s="2">
        <v>1</v>
      </c>
      <c r="BA175" s="2">
        <v>1</v>
      </c>
      <c r="BB175" s="2">
        <v>1</v>
      </c>
      <c r="BC175" s="2">
        <v>1</v>
      </c>
      <c r="BD175" s="2" t="s">
        <v>6</v>
      </c>
      <c r="BE175" s="2" t="s">
        <v>6</v>
      </c>
      <c r="BF175" s="2" t="s">
        <v>6</v>
      </c>
      <c r="BG175" s="2" t="s">
        <v>6</v>
      </c>
      <c r="BH175" s="2">
        <v>0</v>
      </c>
      <c r="BI175" s="2">
        <v>1</v>
      </c>
      <c r="BJ175" s="2" t="s">
        <v>214</v>
      </c>
      <c r="BK175" s="2"/>
      <c r="BL175" s="2"/>
      <c r="BM175" s="2">
        <v>152</v>
      </c>
      <c r="BN175" s="2">
        <v>0</v>
      </c>
      <c r="BO175" s="2" t="s">
        <v>6</v>
      </c>
      <c r="BP175" s="2">
        <v>0</v>
      </c>
      <c r="BQ175" s="2">
        <v>30</v>
      </c>
      <c r="BR175" s="2">
        <v>0</v>
      </c>
      <c r="BS175" s="2">
        <v>1</v>
      </c>
      <c r="BT175" s="2">
        <v>1</v>
      </c>
      <c r="BU175" s="2">
        <v>1</v>
      </c>
      <c r="BV175" s="2">
        <v>1</v>
      </c>
      <c r="BW175" s="2">
        <v>1</v>
      </c>
      <c r="BX175" s="2">
        <v>1</v>
      </c>
      <c r="BY175" s="2" t="s">
        <v>6</v>
      </c>
      <c r="BZ175" s="2">
        <v>161</v>
      </c>
      <c r="CA175" s="2">
        <v>107</v>
      </c>
      <c r="CB175" s="2" t="s">
        <v>6</v>
      </c>
      <c r="CC175" s="2"/>
      <c r="CD175" s="2"/>
      <c r="CE175" s="2">
        <v>30</v>
      </c>
      <c r="CF175" s="2">
        <v>0</v>
      </c>
      <c r="CG175" s="2">
        <v>0</v>
      </c>
      <c r="CH175" s="2"/>
      <c r="CI175" s="2"/>
      <c r="CJ175" s="2"/>
      <c r="CK175" s="2"/>
      <c r="CL175" s="2"/>
      <c r="CM175" s="2">
        <v>0</v>
      </c>
      <c r="CN175" s="2" t="s">
        <v>6</v>
      </c>
      <c r="CO175" s="2">
        <v>0</v>
      </c>
      <c r="CP175" s="2">
        <f t="shared" si="185"/>
        <v>3.9499999999999997</v>
      </c>
      <c r="CQ175" s="2">
        <f t="shared" si="186"/>
        <v>176.15</v>
      </c>
      <c r="CR175" s="2">
        <f>(ROUND((ROUND((((ET175*3))*AV175*1),2)*BB175),2)+ROUND((ROUND(((AE175-((EU175*3)))*AV175*1),2)*BS175),2))</f>
        <v>0</v>
      </c>
      <c r="CS175" s="2">
        <f t="shared" si="188"/>
        <v>0</v>
      </c>
      <c r="CT175" s="2">
        <f t="shared" si="189"/>
        <v>186.26</v>
      </c>
      <c r="CU175" s="2">
        <f t="shared" si="190"/>
        <v>0</v>
      </c>
      <c r="CV175" s="2">
        <f t="shared" si="191"/>
        <v>16.238969999999998</v>
      </c>
      <c r="CW175" s="2">
        <f t="shared" si="192"/>
        <v>0</v>
      </c>
      <c r="CX175" s="2">
        <f t="shared" si="193"/>
        <v>0</v>
      </c>
      <c r="CY175" s="2">
        <f>((S175*BZ175)/100)</f>
        <v>3.2683</v>
      </c>
      <c r="CZ175" s="2">
        <f>((S175*CA175)/100)</f>
        <v>2.1720999999999999</v>
      </c>
      <c r="DA175" s="2"/>
      <c r="DB175" s="2"/>
      <c r="DC175" s="2" t="s">
        <v>6</v>
      </c>
      <c r="DD175" s="2" t="s">
        <v>215</v>
      </c>
      <c r="DE175" s="2" t="s">
        <v>215</v>
      </c>
      <c r="DF175" s="2" t="s">
        <v>215</v>
      </c>
      <c r="DG175" s="2" t="s">
        <v>215</v>
      </c>
      <c r="DH175" s="2" t="s">
        <v>6</v>
      </c>
      <c r="DI175" s="2" t="s">
        <v>215</v>
      </c>
      <c r="DJ175" s="2" t="s">
        <v>215</v>
      </c>
      <c r="DK175" s="2" t="s">
        <v>6</v>
      </c>
      <c r="DL175" s="2" t="s">
        <v>6</v>
      </c>
      <c r="DM175" s="2" t="s">
        <v>6</v>
      </c>
      <c r="DN175" s="2">
        <v>0</v>
      </c>
      <c r="DO175" s="2">
        <v>0</v>
      </c>
      <c r="DP175" s="2">
        <v>1</v>
      </c>
      <c r="DQ175" s="2">
        <v>1</v>
      </c>
      <c r="DR175" s="2"/>
      <c r="DS175" s="2"/>
      <c r="DT175" s="2"/>
      <c r="DU175" s="2">
        <v>1013</v>
      </c>
      <c r="DV175" s="2" t="s">
        <v>193</v>
      </c>
      <c r="DW175" s="2" t="s">
        <v>193</v>
      </c>
      <c r="DX175" s="2">
        <v>1</v>
      </c>
      <c r="DY175" s="2"/>
      <c r="DZ175" s="2" t="s">
        <v>6</v>
      </c>
      <c r="EA175" s="2" t="s">
        <v>6</v>
      </c>
      <c r="EB175" s="2" t="s">
        <v>6</v>
      </c>
      <c r="EC175" s="2" t="s">
        <v>6</v>
      </c>
      <c r="ED175" s="2"/>
      <c r="EE175" s="2">
        <v>69252777</v>
      </c>
      <c r="EF175" s="2">
        <v>30</v>
      </c>
      <c r="EG175" s="2" t="s">
        <v>29</v>
      </c>
      <c r="EH175" s="2">
        <v>0</v>
      </c>
      <c r="EI175" s="2" t="s">
        <v>6</v>
      </c>
      <c r="EJ175" s="2">
        <v>1</v>
      </c>
      <c r="EK175" s="2">
        <v>152</v>
      </c>
      <c r="EL175" s="2" t="s">
        <v>195</v>
      </c>
      <c r="EM175" s="2" t="s">
        <v>196</v>
      </c>
      <c r="EN175" s="2"/>
      <c r="EO175" s="2" t="s">
        <v>6</v>
      </c>
      <c r="EP175" s="2"/>
      <c r="EQ175" s="2">
        <v>1024</v>
      </c>
      <c r="ER175" s="2">
        <v>117.9</v>
      </c>
      <c r="ES175" s="2">
        <v>58.6</v>
      </c>
      <c r="ET175" s="2">
        <v>0</v>
      </c>
      <c r="EU175" s="2">
        <v>0</v>
      </c>
      <c r="EV175" s="2">
        <v>59.3</v>
      </c>
      <c r="EW175" s="2">
        <v>5.17</v>
      </c>
      <c r="EX175" s="2">
        <v>0</v>
      </c>
      <c r="EY175" s="2">
        <v>0</v>
      </c>
      <c r="EZ175" s="2"/>
      <c r="FA175" s="2"/>
      <c r="FB175" s="2"/>
      <c r="FC175" s="2"/>
      <c r="FD175" s="2"/>
      <c r="FE175" s="2"/>
      <c r="FF175" s="2"/>
      <c r="FG175" s="2"/>
      <c r="FH175" s="2"/>
      <c r="FI175" s="2"/>
      <c r="FJ175" s="2"/>
      <c r="FK175" s="2"/>
      <c r="FL175" s="2"/>
      <c r="FM175" s="2"/>
      <c r="FN175" s="2"/>
      <c r="FO175" s="2"/>
      <c r="FP175" s="2"/>
      <c r="FQ175" s="2">
        <v>0</v>
      </c>
      <c r="FR175" s="2">
        <f t="shared" si="194"/>
        <v>0</v>
      </c>
      <c r="FS175" s="2">
        <v>0</v>
      </c>
      <c r="FT175" s="2"/>
      <c r="FU175" s="2"/>
      <c r="FV175" s="2"/>
      <c r="FW175" s="2"/>
      <c r="FX175" s="2">
        <v>161</v>
      </c>
      <c r="FY175" s="2">
        <v>107</v>
      </c>
      <c r="FZ175" s="2"/>
      <c r="GA175" s="2" t="s">
        <v>6</v>
      </c>
      <c r="GB175" s="2"/>
      <c r="GC175" s="2"/>
      <c r="GD175" s="2">
        <v>0</v>
      </c>
      <c r="GE175" s="2"/>
      <c r="GF175" s="2">
        <v>-2058662946</v>
      </c>
      <c r="GG175" s="2">
        <v>2</v>
      </c>
      <c r="GH175" s="2">
        <v>1</v>
      </c>
      <c r="GI175" s="2">
        <v>-2</v>
      </c>
      <c r="GJ175" s="2">
        <v>0</v>
      </c>
      <c r="GK175" s="2">
        <f>ROUND(R175*(R12)/100,2)</f>
        <v>0</v>
      </c>
      <c r="GL175" s="2">
        <f t="shared" si="195"/>
        <v>0</v>
      </c>
      <c r="GM175" s="2">
        <f t="shared" si="196"/>
        <v>9.39</v>
      </c>
      <c r="GN175" s="2">
        <f t="shared" si="197"/>
        <v>9.39</v>
      </c>
      <c r="GO175" s="2">
        <f t="shared" si="198"/>
        <v>0</v>
      </c>
      <c r="GP175" s="2">
        <f t="shared" si="199"/>
        <v>0</v>
      </c>
      <c r="GQ175" s="2"/>
      <c r="GR175" s="2">
        <v>0</v>
      </c>
      <c r="GS175" s="2">
        <v>3</v>
      </c>
      <c r="GT175" s="2">
        <v>0</v>
      </c>
      <c r="GU175" s="2" t="s">
        <v>215</v>
      </c>
      <c r="GV175" s="2">
        <f>ROUND(((GT175*3)),6)</f>
        <v>0</v>
      </c>
      <c r="GW175" s="2">
        <v>1</v>
      </c>
      <c r="GX175" s="2">
        <f t="shared" si="201"/>
        <v>0</v>
      </c>
      <c r="GY175" s="2"/>
      <c r="GZ175" s="2"/>
      <c r="HA175" s="2">
        <v>0</v>
      </c>
      <c r="HB175" s="2">
        <v>0</v>
      </c>
      <c r="HC175" s="2">
        <f t="shared" si="202"/>
        <v>0</v>
      </c>
      <c r="HD175" s="2"/>
      <c r="HE175" s="2" t="s">
        <v>6</v>
      </c>
      <c r="HF175" s="2" t="s">
        <v>6</v>
      </c>
      <c r="HG175" s="2"/>
      <c r="HH175" s="2"/>
      <c r="HI175" s="2"/>
      <c r="HJ175" s="2"/>
      <c r="HK175" s="2"/>
      <c r="HL175" s="2"/>
      <c r="HM175" s="2" t="s">
        <v>6</v>
      </c>
      <c r="HN175" s="2" t="s">
        <v>6</v>
      </c>
      <c r="HO175" s="2" t="s">
        <v>6</v>
      </c>
      <c r="HP175" s="2" t="s">
        <v>6</v>
      </c>
      <c r="HQ175" s="2" t="s">
        <v>6</v>
      </c>
      <c r="HR175" s="2"/>
      <c r="HS175" s="2"/>
      <c r="HT175" s="2"/>
      <c r="HU175" s="2"/>
      <c r="HV175" s="2"/>
      <c r="HW175" s="2"/>
      <c r="HX175" s="2"/>
      <c r="HY175" s="2"/>
      <c r="HZ175" s="2"/>
      <c r="IA175" s="2"/>
      <c r="IB175" s="2"/>
      <c r="IC175" s="2"/>
      <c r="ID175" s="2"/>
      <c r="IE175" s="2"/>
      <c r="IF175" s="2"/>
      <c r="IG175" s="2"/>
      <c r="IH175" s="2"/>
      <c r="II175" s="2"/>
      <c r="IJ175" s="2"/>
      <c r="IK175" s="2">
        <v>0</v>
      </c>
      <c r="IL175" s="2"/>
      <c r="IM175" s="2"/>
      <c r="IN175" s="2"/>
      <c r="IO175" s="2"/>
      <c r="IP175" s="2"/>
      <c r="IQ175" s="2"/>
      <c r="IR175" s="2"/>
      <c r="IS175" s="2"/>
      <c r="IT175" s="2"/>
      <c r="IU175" s="2"/>
    </row>
    <row r="176" spans="1:255">
      <c r="A176">
        <v>17</v>
      </c>
      <c r="B176">
        <v>1</v>
      </c>
      <c r="E176" t="s">
        <v>6</v>
      </c>
      <c r="F176" t="s">
        <v>212</v>
      </c>
      <c r="G176" t="s">
        <v>213</v>
      </c>
      <c r="H176" t="s">
        <v>193</v>
      </c>
      <c r="I176">
        <f>ROUND(10.9/1000,9)</f>
        <v>1.09E-2</v>
      </c>
      <c r="J176">
        <v>0</v>
      </c>
      <c r="K176">
        <f>ROUND(10.9/1000,9)</f>
        <v>1.09E-2</v>
      </c>
      <c r="O176">
        <f t="shared" si="165"/>
        <v>101.71</v>
      </c>
      <c r="P176">
        <f t="shared" si="166"/>
        <v>6.97</v>
      </c>
      <c r="Q176">
        <f>(ROUND((ROUND((((ET176*3))*AV176*I176),2)*BB176),2)+ROUND((ROUND(((AE176-((EU176*3)))*AV176*I176),2)*BS176),2))</f>
        <v>0</v>
      </c>
      <c r="R176">
        <f t="shared" si="168"/>
        <v>0</v>
      </c>
      <c r="S176">
        <f t="shared" si="169"/>
        <v>94.74</v>
      </c>
      <c r="T176">
        <f t="shared" si="170"/>
        <v>0</v>
      </c>
      <c r="U176">
        <f t="shared" si="171"/>
        <v>0.17700477299999998</v>
      </c>
      <c r="V176">
        <f t="shared" si="172"/>
        <v>0</v>
      </c>
      <c r="W176">
        <f t="shared" si="173"/>
        <v>0</v>
      </c>
      <c r="X176">
        <f t="shared" si="174"/>
        <v>126.95</v>
      </c>
      <c r="Y176">
        <f t="shared" si="175"/>
        <v>52.11</v>
      </c>
      <c r="AA176">
        <v>-1</v>
      </c>
      <c r="AB176">
        <f t="shared" si="176"/>
        <v>353.7</v>
      </c>
      <c r="AC176">
        <f>ROUND(((ES176*3)),6)</f>
        <v>175.8</v>
      </c>
      <c r="AD176">
        <f>ROUND(((((ET176*3))-((EU176*3)))+AE176),6)</f>
        <v>0</v>
      </c>
      <c r="AE176">
        <f>ROUND(((EU176*3)),6)</f>
        <v>0</v>
      </c>
      <c r="AF176">
        <f>ROUND(((EV176*3)),6)</f>
        <v>177.9</v>
      </c>
      <c r="AG176">
        <f t="shared" si="181"/>
        <v>0</v>
      </c>
      <c r="AH176">
        <f>((EW176*3))</f>
        <v>15.51</v>
      </c>
      <c r="AI176">
        <f>((EX176*3))</f>
        <v>0</v>
      </c>
      <c r="AJ176">
        <f t="shared" si="184"/>
        <v>0</v>
      </c>
      <c r="AK176">
        <v>117.9</v>
      </c>
      <c r="AL176">
        <v>58.6</v>
      </c>
      <c r="AM176">
        <v>0</v>
      </c>
      <c r="AN176">
        <v>0</v>
      </c>
      <c r="AO176">
        <v>59.3</v>
      </c>
      <c r="AP176">
        <v>0</v>
      </c>
      <c r="AQ176">
        <v>5.17</v>
      </c>
      <c r="AR176">
        <v>0</v>
      </c>
      <c r="AS176">
        <v>0</v>
      </c>
      <c r="AT176">
        <v>134</v>
      </c>
      <c r="AU176">
        <v>55</v>
      </c>
      <c r="AV176">
        <v>1.0469999999999999</v>
      </c>
      <c r="AW176">
        <v>1.002</v>
      </c>
      <c r="AZ176">
        <v>1</v>
      </c>
      <c r="BA176">
        <v>46.67</v>
      </c>
      <c r="BB176">
        <v>1</v>
      </c>
      <c r="BC176">
        <v>3.63</v>
      </c>
      <c r="BD176" t="s">
        <v>6</v>
      </c>
      <c r="BE176" t="s">
        <v>6</v>
      </c>
      <c r="BF176" t="s">
        <v>6</v>
      </c>
      <c r="BG176" t="s">
        <v>6</v>
      </c>
      <c r="BH176">
        <v>0</v>
      </c>
      <c r="BI176">
        <v>1</v>
      </c>
      <c r="BJ176" t="s">
        <v>214</v>
      </c>
      <c r="BM176">
        <v>152</v>
      </c>
      <c r="BN176">
        <v>0</v>
      </c>
      <c r="BO176" t="s">
        <v>212</v>
      </c>
      <c r="BP176">
        <v>1</v>
      </c>
      <c r="BQ176">
        <v>30</v>
      </c>
      <c r="BR176">
        <v>0</v>
      </c>
      <c r="BS176">
        <v>46.67</v>
      </c>
      <c r="BT176">
        <v>1</v>
      </c>
      <c r="BU176">
        <v>1</v>
      </c>
      <c r="BV176">
        <v>1</v>
      </c>
      <c r="BW176">
        <v>1</v>
      </c>
      <c r="BX176">
        <v>1</v>
      </c>
      <c r="BY176" t="s">
        <v>6</v>
      </c>
      <c r="BZ176">
        <v>134</v>
      </c>
      <c r="CA176">
        <v>55</v>
      </c>
      <c r="CB176" t="s">
        <v>6</v>
      </c>
      <c r="CE176">
        <v>30</v>
      </c>
      <c r="CF176">
        <v>0</v>
      </c>
      <c r="CG176">
        <v>0</v>
      </c>
      <c r="CM176">
        <v>0</v>
      </c>
      <c r="CN176" t="s">
        <v>6</v>
      </c>
      <c r="CO176">
        <v>0</v>
      </c>
      <c r="CP176">
        <f t="shared" si="185"/>
        <v>101.71</v>
      </c>
      <c r="CQ176">
        <f t="shared" si="186"/>
        <v>639.41999999999996</v>
      </c>
      <c r="CR176">
        <f>(ROUND((ROUND((((ET176*3))*AV176*1),2)*BB176),2)+ROUND((ROUND(((AE176-((EU176*3)))*AV176*1),2)*BS176),2))</f>
        <v>0</v>
      </c>
      <c r="CS176">
        <f t="shared" si="188"/>
        <v>0</v>
      </c>
      <c r="CT176">
        <f t="shared" si="189"/>
        <v>8692.75</v>
      </c>
      <c r="CU176">
        <f t="shared" si="190"/>
        <v>0</v>
      </c>
      <c r="CV176">
        <f t="shared" si="191"/>
        <v>16.238969999999998</v>
      </c>
      <c r="CW176">
        <f t="shared" si="192"/>
        <v>0</v>
      </c>
      <c r="CX176">
        <f t="shared" si="193"/>
        <v>0</v>
      </c>
      <c r="CY176">
        <f>S176*(BZ176/100)</f>
        <v>126.9516</v>
      </c>
      <c r="CZ176">
        <f>S176*(CA176/100)</f>
        <v>52.106999999999999</v>
      </c>
      <c r="DC176" t="s">
        <v>6</v>
      </c>
      <c r="DD176" t="s">
        <v>215</v>
      </c>
      <c r="DE176" t="s">
        <v>215</v>
      </c>
      <c r="DF176" t="s">
        <v>215</v>
      </c>
      <c r="DG176" t="s">
        <v>215</v>
      </c>
      <c r="DH176" t="s">
        <v>6</v>
      </c>
      <c r="DI176" t="s">
        <v>215</v>
      </c>
      <c r="DJ176" t="s">
        <v>215</v>
      </c>
      <c r="DK176" t="s">
        <v>6</v>
      </c>
      <c r="DL176" t="s">
        <v>6</v>
      </c>
      <c r="DM176" t="s">
        <v>6</v>
      </c>
      <c r="DN176">
        <v>161</v>
      </c>
      <c r="DO176">
        <v>107</v>
      </c>
      <c r="DP176">
        <v>1.0469999999999999</v>
      </c>
      <c r="DQ176">
        <v>1.002</v>
      </c>
      <c r="DU176">
        <v>1013</v>
      </c>
      <c r="DV176" t="s">
        <v>193</v>
      </c>
      <c r="DW176" t="s">
        <v>193</v>
      </c>
      <c r="DX176">
        <v>1</v>
      </c>
      <c r="DZ176" t="s">
        <v>6</v>
      </c>
      <c r="EA176" t="s">
        <v>6</v>
      </c>
      <c r="EB176" t="s">
        <v>6</v>
      </c>
      <c r="EC176" t="s">
        <v>6</v>
      </c>
      <c r="EE176">
        <v>69252777</v>
      </c>
      <c r="EF176">
        <v>30</v>
      </c>
      <c r="EG176" t="s">
        <v>29</v>
      </c>
      <c r="EH176">
        <v>0</v>
      </c>
      <c r="EI176" t="s">
        <v>6</v>
      </c>
      <c r="EJ176">
        <v>1</v>
      </c>
      <c r="EK176">
        <v>152</v>
      </c>
      <c r="EL176" t="s">
        <v>195</v>
      </c>
      <c r="EM176" t="s">
        <v>196</v>
      </c>
      <c r="EO176" t="s">
        <v>6</v>
      </c>
      <c r="EQ176">
        <v>1024</v>
      </c>
      <c r="ER176">
        <v>117.9</v>
      </c>
      <c r="ES176">
        <v>58.6</v>
      </c>
      <c r="ET176">
        <v>0</v>
      </c>
      <c r="EU176">
        <v>0</v>
      </c>
      <c r="EV176">
        <v>59.3</v>
      </c>
      <c r="EW176">
        <v>5.17</v>
      </c>
      <c r="EX176">
        <v>0</v>
      </c>
      <c r="EY176">
        <v>0</v>
      </c>
      <c r="FQ176">
        <v>0</v>
      </c>
      <c r="FR176">
        <f t="shared" si="194"/>
        <v>0</v>
      </c>
      <c r="FS176">
        <v>0</v>
      </c>
      <c r="FX176">
        <v>161</v>
      </c>
      <c r="FY176">
        <v>107</v>
      </c>
      <c r="GA176" t="s">
        <v>6</v>
      </c>
      <c r="GD176">
        <v>0</v>
      </c>
      <c r="GF176">
        <v>-2058662946</v>
      </c>
      <c r="GG176">
        <v>2</v>
      </c>
      <c r="GH176">
        <v>1</v>
      </c>
      <c r="GI176">
        <v>2</v>
      </c>
      <c r="GJ176">
        <v>0</v>
      </c>
      <c r="GK176">
        <f>ROUND(R176*(S12)/100,2)</f>
        <v>0</v>
      </c>
      <c r="GL176">
        <f t="shared" si="195"/>
        <v>0</v>
      </c>
      <c r="GM176">
        <f t="shared" si="196"/>
        <v>280.77</v>
      </c>
      <c r="GN176">
        <f t="shared" si="197"/>
        <v>280.77</v>
      </c>
      <c r="GO176">
        <f t="shared" si="198"/>
        <v>0</v>
      </c>
      <c r="GP176">
        <f t="shared" si="199"/>
        <v>0</v>
      </c>
      <c r="GR176">
        <v>0</v>
      </c>
      <c r="GS176">
        <v>0</v>
      </c>
      <c r="GT176">
        <v>0</v>
      </c>
      <c r="GU176" t="s">
        <v>215</v>
      </c>
      <c r="GV176">
        <f>ROUND(((GT176*3)),6)</f>
        <v>0</v>
      </c>
      <c r="GW176">
        <v>1</v>
      </c>
      <c r="GX176">
        <f t="shared" si="201"/>
        <v>0</v>
      </c>
      <c r="HA176">
        <v>0</v>
      </c>
      <c r="HB176">
        <v>0</v>
      </c>
      <c r="HC176">
        <f t="shared" si="202"/>
        <v>0</v>
      </c>
      <c r="HE176" t="s">
        <v>6</v>
      </c>
      <c r="HF176" t="s">
        <v>6</v>
      </c>
      <c r="HM176" t="s">
        <v>6</v>
      </c>
      <c r="HN176" t="s">
        <v>6</v>
      </c>
      <c r="HO176" t="s">
        <v>6</v>
      </c>
      <c r="HP176" t="s">
        <v>6</v>
      </c>
      <c r="HQ176" t="s">
        <v>6</v>
      </c>
      <c r="IK176">
        <v>0</v>
      </c>
    </row>
    <row r="177" spans="1:255">
      <c r="A177" s="2">
        <v>18</v>
      </c>
      <c r="B177" s="2">
        <v>1</v>
      </c>
      <c r="C177" s="2"/>
      <c r="D177" s="2"/>
      <c r="E177" s="2" t="s">
        <v>6</v>
      </c>
      <c r="F177" s="2" t="s">
        <v>198</v>
      </c>
      <c r="G177" s="2" t="s">
        <v>199</v>
      </c>
      <c r="H177" s="2" t="s">
        <v>35</v>
      </c>
      <c r="I177" s="2">
        <f>I175*J177</f>
        <v>0.33354</v>
      </c>
      <c r="J177" s="2">
        <v>30.6</v>
      </c>
      <c r="K177" s="2">
        <v>10.199999999999999</v>
      </c>
      <c r="L177" s="2"/>
      <c r="M177" s="2"/>
      <c r="N177" s="2"/>
      <c r="O177" s="2">
        <f t="shared" ref="O177:O194" si="203">ROUND(CP177,2)</f>
        <v>172.83</v>
      </c>
      <c r="P177" s="2">
        <f t="shared" ref="P177:P194" si="204">ROUND((ROUND((AC177*AW177*I177),2)*BC177),2)</f>
        <v>172.83</v>
      </c>
      <c r="Q177" s="2">
        <f t="shared" ref="Q177:Q182" si="205">(ROUND((ROUND(((ET177)*AV177*I177),2)*BB177),2)+ROUND((ROUND(((AE177-(EU177))*AV177*I177),2)*BS177),2))</f>
        <v>0</v>
      </c>
      <c r="R177" s="2">
        <f t="shared" ref="R177:R194" si="206">ROUND((ROUND((AE177*AV177*I177),2)*BS177),2)</f>
        <v>0</v>
      </c>
      <c r="S177" s="2">
        <f t="shared" ref="S177:S194" si="207">ROUND((ROUND((AF177*AV177*I177),2)*BA177),2)</f>
        <v>0</v>
      </c>
      <c r="T177" s="2">
        <f t="shared" ref="T177:T194" si="208">ROUND(CU177*I177,2)</f>
        <v>0</v>
      </c>
      <c r="U177" s="2">
        <f t="shared" ref="U177:U194" si="209">CV177*I177</f>
        <v>0</v>
      </c>
      <c r="V177" s="2">
        <f t="shared" ref="V177:V194" si="210">CW177*I177</f>
        <v>0</v>
      </c>
      <c r="W177" s="2">
        <f t="shared" ref="W177:W194" si="211">ROUND(CX177*I177,2)</f>
        <v>0</v>
      </c>
      <c r="X177" s="2">
        <f t="shared" ref="X177:X194" si="212">ROUND(CY177,2)</f>
        <v>0</v>
      </c>
      <c r="Y177" s="2">
        <f t="shared" ref="Y177:Y194" si="213">ROUND(CZ177,2)</f>
        <v>0</v>
      </c>
      <c r="Z177" s="2"/>
      <c r="AA177" s="2">
        <v>-1</v>
      </c>
      <c r="AB177" s="2">
        <f t="shared" ref="AB177:AB194" si="214">ROUND((AC177+AD177+AF177),6)</f>
        <v>517.14</v>
      </c>
      <c r="AC177" s="2">
        <f t="shared" ref="AC177:AC182" si="215">ROUND((ES177),6)</f>
        <v>517.14</v>
      </c>
      <c r="AD177" s="2">
        <f t="shared" ref="AD177:AD182" si="216">ROUND((((ET177)-(EU177))+AE177),6)</f>
        <v>0</v>
      </c>
      <c r="AE177" s="2">
        <f t="shared" ref="AE177:AF182" si="217">ROUND((EU177),6)</f>
        <v>0</v>
      </c>
      <c r="AF177" s="2">
        <f t="shared" si="217"/>
        <v>0</v>
      </c>
      <c r="AG177" s="2">
        <f t="shared" ref="AG177:AG194" si="218">ROUND((AP177),6)</f>
        <v>0</v>
      </c>
      <c r="AH177" s="2">
        <f t="shared" ref="AH177:AI182" si="219">(EW177)</f>
        <v>0</v>
      </c>
      <c r="AI177" s="2">
        <f t="shared" si="219"/>
        <v>0</v>
      </c>
      <c r="AJ177" s="2">
        <f t="shared" ref="AJ177:AJ194" si="220">(AS177)</f>
        <v>0</v>
      </c>
      <c r="AK177" s="2">
        <v>517.14</v>
      </c>
      <c r="AL177" s="2">
        <v>517.14</v>
      </c>
      <c r="AM177" s="2">
        <v>0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161</v>
      </c>
      <c r="AU177" s="2">
        <v>107</v>
      </c>
      <c r="AV177" s="2">
        <v>1.0469999999999999</v>
      </c>
      <c r="AW177" s="2">
        <v>1.002</v>
      </c>
      <c r="AX177" s="2"/>
      <c r="AY177" s="2"/>
      <c r="AZ177" s="2">
        <v>1</v>
      </c>
      <c r="BA177" s="2">
        <v>1</v>
      </c>
      <c r="BB177" s="2">
        <v>1</v>
      </c>
      <c r="BC177" s="2">
        <v>1</v>
      </c>
      <c r="BD177" s="2" t="s">
        <v>6</v>
      </c>
      <c r="BE177" s="2" t="s">
        <v>6</v>
      </c>
      <c r="BF177" s="2" t="s">
        <v>6</v>
      </c>
      <c r="BG177" s="2" t="s">
        <v>6</v>
      </c>
      <c r="BH177" s="2">
        <v>3</v>
      </c>
      <c r="BI177" s="2">
        <v>1</v>
      </c>
      <c r="BJ177" s="2" t="s">
        <v>200</v>
      </c>
      <c r="BK177" s="2"/>
      <c r="BL177" s="2"/>
      <c r="BM177" s="2">
        <v>152</v>
      </c>
      <c r="BN177" s="2">
        <v>0</v>
      </c>
      <c r="BO177" s="2" t="s">
        <v>6</v>
      </c>
      <c r="BP177" s="2">
        <v>0</v>
      </c>
      <c r="BQ177" s="2">
        <v>30</v>
      </c>
      <c r="BR177" s="2">
        <v>0</v>
      </c>
      <c r="BS177" s="2">
        <v>1</v>
      </c>
      <c r="BT177" s="2">
        <v>1</v>
      </c>
      <c r="BU177" s="2">
        <v>1</v>
      </c>
      <c r="BV177" s="2">
        <v>1</v>
      </c>
      <c r="BW177" s="2">
        <v>1</v>
      </c>
      <c r="BX177" s="2">
        <v>1</v>
      </c>
      <c r="BY177" s="2" t="s">
        <v>6</v>
      </c>
      <c r="BZ177" s="2">
        <v>161</v>
      </c>
      <c r="CA177" s="2">
        <v>107</v>
      </c>
      <c r="CB177" s="2" t="s">
        <v>6</v>
      </c>
      <c r="CC177" s="2"/>
      <c r="CD177" s="2"/>
      <c r="CE177" s="2">
        <v>30</v>
      </c>
      <c r="CF177" s="2">
        <v>0</v>
      </c>
      <c r="CG177" s="2">
        <v>0</v>
      </c>
      <c r="CH177" s="2"/>
      <c r="CI177" s="2"/>
      <c r="CJ177" s="2"/>
      <c r="CK177" s="2"/>
      <c r="CL177" s="2"/>
      <c r="CM177" s="2">
        <v>0</v>
      </c>
      <c r="CN177" s="2" t="s">
        <v>6</v>
      </c>
      <c r="CO177" s="2">
        <v>0</v>
      </c>
      <c r="CP177" s="2">
        <f t="shared" ref="CP177:CP194" si="221">(P177+Q177+S177)</f>
        <v>172.83</v>
      </c>
      <c r="CQ177" s="2">
        <f t="shared" ref="CQ177:CQ194" si="222">ROUND((ROUND((AC177*AW177*1),2)*BC177),2)</f>
        <v>518.16999999999996</v>
      </c>
      <c r="CR177" s="2">
        <f t="shared" ref="CR177:CR182" si="223">(ROUND((ROUND(((ET177)*AV177*1),2)*BB177),2)+ROUND((ROUND(((AE177-(EU177))*AV177*1),2)*BS177),2))</f>
        <v>0</v>
      </c>
      <c r="CS177" s="2">
        <f t="shared" ref="CS177:CS194" si="224">ROUND((ROUND((AE177*AV177*1),2)*BS177),2)</f>
        <v>0</v>
      </c>
      <c r="CT177" s="2">
        <f t="shared" ref="CT177:CT194" si="225">ROUND((ROUND((AF177*AV177*1),2)*BA177),2)</f>
        <v>0</v>
      </c>
      <c r="CU177" s="2">
        <f t="shared" ref="CU177:CU194" si="226">AG177</f>
        <v>0</v>
      </c>
      <c r="CV177" s="2">
        <f t="shared" ref="CV177:CV194" si="227">(AH177*AV177)</f>
        <v>0</v>
      </c>
      <c r="CW177" s="2">
        <f t="shared" ref="CW177:CW194" si="228">AI177</f>
        <v>0</v>
      </c>
      <c r="CX177" s="2">
        <f t="shared" ref="CX177:CX194" si="229">AJ177</f>
        <v>0</v>
      </c>
      <c r="CY177" s="2">
        <f>((S177*BZ177)/100)</f>
        <v>0</v>
      </c>
      <c r="CZ177" s="2">
        <f>((S177*CA177)/100)</f>
        <v>0</v>
      </c>
      <c r="DA177" s="2"/>
      <c r="DB177" s="2"/>
      <c r="DC177" s="2" t="s">
        <v>6</v>
      </c>
      <c r="DD177" s="2" t="s">
        <v>6</v>
      </c>
      <c r="DE177" s="2" t="s">
        <v>6</v>
      </c>
      <c r="DF177" s="2" t="s">
        <v>6</v>
      </c>
      <c r="DG177" s="2" t="s">
        <v>6</v>
      </c>
      <c r="DH177" s="2" t="s">
        <v>6</v>
      </c>
      <c r="DI177" s="2" t="s">
        <v>6</v>
      </c>
      <c r="DJ177" s="2" t="s">
        <v>6</v>
      </c>
      <c r="DK177" s="2" t="s">
        <v>6</v>
      </c>
      <c r="DL177" s="2" t="s">
        <v>6</v>
      </c>
      <c r="DM177" s="2" t="s">
        <v>6</v>
      </c>
      <c r="DN177" s="2">
        <v>0</v>
      </c>
      <c r="DO177" s="2">
        <v>0</v>
      </c>
      <c r="DP177" s="2">
        <v>1</v>
      </c>
      <c r="DQ177" s="2">
        <v>1</v>
      </c>
      <c r="DR177" s="2"/>
      <c r="DS177" s="2"/>
      <c r="DT177" s="2"/>
      <c r="DU177" s="2">
        <v>1007</v>
      </c>
      <c r="DV177" s="2" t="s">
        <v>35</v>
      </c>
      <c r="DW177" s="2" t="s">
        <v>35</v>
      </c>
      <c r="DX177" s="2">
        <v>1</v>
      </c>
      <c r="DY177" s="2"/>
      <c r="DZ177" s="2" t="s">
        <v>6</v>
      </c>
      <c r="EA177" s="2" t="s">
        <v>6</v>
      </c>
      <c r="EB177" s="2" t="s">
        <v>6</v>
      </c>
      <c r="EC177" s="2" t="s">
        <v>6</v>
      </c>
      <c r="ED177" s="2"/>
      <c r="EE177" s="2">
        <v>69252777</v>
      </c>
      <c r="EF177" s="2">
        <v>30</v>
      </c>
      <c r="EG177" s="2" t="s">
        <v>29</v>
      </c>
      <c r="EH177" s="2">
        <v>0</v>
      </c>
      <c r="EI177" s="2" t="s">
        <v>6</v>
      </c>
      <c r="EJ177" s="2">
        <v>1</v>
      </c>
      <c r="EK177" s="2">
        <v>152</v>
      </c>
      <c r="EL177" s="2" t="s">
        <v>195</v>
      </c>
      <c r="EM177" s="2" t="s">
        <v>196</v>
      </c>
      <c r="EN177" s="2"/>
      <c r="EO177" s="2" t="s">
        <v>6</v>
      </c>
      <c r="EP177" s="2"/>
      <c r="EQ177" s="2">
        <v>1024</v>
      </c>
      <c r="ER177" s="2">
        <v>517.14</v>
      </c>
      <c r="ES177" s="2">
        <v>517.14</v>
      </c>
      <c r="ET177" s="2">
        <v>0</v>
      </c>
      <c r="EU177" s="2">
        <v>0</v>
      </c>
      <c r="EV177" s="2">
        <v>0</v>
      </c>
      <c r="EW177" s="2">
        <v>0</v>
      </c>
      <c r="EX177" s="2">
        <v>0</v>
      </c>
      <c r="EY177" s="2"/>
      <c r="EZ177" s="2"/>
      <c r="FA177" s="2"/>
      <c r="FB177" s="2"/>
      <c r="FC177" s="2"/>
      <c r="FD177" s="2"/>
      <c r="FE177" s="2"/>
      <c r="FF177" s="2"/>
      <c r="FG177" s="2"/>
      <c r="FH177" s="2"/>
      <c r="FI177" s="2"/>
      <c r="FJ177" s="2"/>
      <c r="FK177" s="2"/>
      <c r="FL177" s="2"/>
      <c r="FM177" s="2"/>
      <c r="FN177" s="2"/>
      <c r="FO177" s="2"/>
      <c r="FP177" s="2"/>
      <c r="FQ177" s="2">
        <v>0</v>
      </c>
      <c r="FR177" s="2">
        <f t="shared" ref="FR177:FR194" si="230">ROUND(IF(BI177=3,GM177,0),2)</f>
        <v>0</v>
      </c>
      <c r="FS177" s="2">
        <v>0</v>
      </c>
      <c r="FT177" s="2"/>
      <c r="FU177" s="2"/>
      <c r="FV177" s="2"/>
      <c r="FW177" s="2"/>
      <c r="FX177" s="2">
        <v>161</v>
      </c>
      <c r="FY177" s="2">
        <v>107</v>
      </c>
      <c r="FZ177" s="2"/>
      <c r="GA177" s="2" t="s">
        <v>6</v>
      </c>
      <c r="GB177" s="2"/>
      <c r="GC177" s="2"/>
      <c r="GD177" s="2">
        <v>0</v>
      </c>
      <c r="GE177" s="2"/>
      <c r="GF177" s="2">
        <v>772680519</v>
      </c>
      <c r="GG177" s="2">
        <v>2</v>
      </c>
      <c r="GH177" s="2">
        <v>1</v>
      </c>
      <c r="GI177" s="2">
        <v>-2</v>
      </c>
      <c r="GJ177" s="2">
        <v>0</v>
      </c>
      <c r="GK177" s="2">
        <f>ROUND(R177*(R12)/100,2)</f>
        <v>0</v>
      </c>
      <c r="GL177" s="2">
        <f t="shared" ref="GL177:GL194" si="231">ROUND(IF(AND(BH177=3,BI177=3,FS177&lt;&gt;0),P177,0),2)</f>
        <v>0</v>
      </c>
      <c r="GM177" s="2">
        <f t="shared" ref="GM177:GM194" si="232">ROUND(O177+X177+Y177+GK177,2)+GX177</f>
        <v>172.83</v>
      </c>
      <c r="GN177" s="2">
        <f t="shared" ref="GN177:GN194" si="233">IF(OR(BI177=0,BI177=1),GM177-GX177,0)</f>
        <v>172.83</v>
      </c>
      <c r="GO177" s="2">
        <f t="shared" ref="GO177:GO194" si="234">IF(BI177=2,GM177-GX177,0)</f>
        <v>0</v>
      </c>
      <c r="GP177" s="2">
        <f t="shared" ref="GP177:GP194" si="235">IF(BI177=4,GM177-GX177,0)</f>
        <v>0</v>
      </c>
      <c r="GQ177" s="2"/>
      <c r="GR177" s="2">
        <v>0</v>
      </c>
      <c r="GS177" s="2">
        <v>3</v>
      </c>
      <c r="GT177" s="2">
        <v>0</v>
      </c>
      <c r="GU177" s="2" t="s">
        <v>6</v>
      </c>
      <c r="GV177" s="2">
        <f t="shared" ref="GV177:GV182" si="236">ROUND((GT177),6)</f>
        <v>0</v>
      </c>
      <c r="GW177" s="2">
        <v>1</v>
      </c>
      <c r="GX177" s="2">
        <f t="shared" ref="GX177:GX194" si="237">ROUND(HC177*I177,2)</f>
        <v>0</v>
      </c>
      <c r="GY177" s="2"/>
      <c r="GZ177" s="2"/>
      <c r="HA177" s="2">
        <v>0</v>
      </c>
      <c r="HB177" s="2">
        <v>0</v>
      </c>
      <c r="HC177" s="2">
        <f t="shared" ref="HC177:HC194" si="238">GV177*GW177</f>
        <v>0</v>
      </c>
      <c r="HD177" s="2"/>
      <c r="HE177" s="2" t="s">
        <v>6</v>
      </c>
      <c r="HF177" s="2" t="s">
        <v>6</v>
      </c>
      <c r="HG177" s="2"/>
      <c r="HH177" s="2"/>
      <c r="HI177" s="2"/>
      <c r="HJ177" s="2"/>
      <c r="HK177" s="2"/>
      <c r="HL177" s="2"/>
      <c r="HM177" s="2" t="s">
        <v>6</v>
      </c>
      <c r="HN177" s="2" t="s">
        <v>6</v>
      </c>
      <c r="HO177" s="2" t="s">
        <v>6</v>
      </c>
      <c r="HP177" s="2" t="s">
        <v>6</v>
      </c>
      <c r="HQ177" s="2" t="s">
        <v>6</v>
      </c>
      <c r="HR177" s="2"/>
      <c r="HS177" s="2"/>
      <c r="HT177" s="2"/>
      <c r="HU177" s="2"/>
      <c r="HV177" s="2"/>
      <c r="HW177" s="2"/>
      <c r="HX177" s="2"/>
      <c r="HY177" s="2"/>
      <c r="HZ177" s="2"/>
      <c r="IA177" s="2"/>
      <c r="IB177" s="2"/>
      <c r="IC177" s="2"/>
      <c r="ID177" s="2"/>
      <c r="IE177" s="2"/>
      <c r="IF177" s="2"/>
      <c r="IG177" s="2"/>
      <c r="IH177" s="2"/>
      <c r="II177" s="2"/>
      <c r="IJ177" s="2"/>
      <c r="IK177" s="2">
        <v>0</v>
      </c>
      <c r="IL177" s="2"/>
      <c r="IM177" s="2"/>
      <c r="IN177" s="2"/>
      <c r="IO177" s="2"/>
      <c r="IP177" s="2"/>
      <c r="IQ177" s="2"/>
      <c r="IR177" s="2"/>
      <c r="IS177" s="2"/>
      <c r="IT177" s="2"/>
      <c r="IU177" s="2"/>
    </row>
    <row r="178" spans="1:255">
      <c r="A178">
        <v>18</v>
      </c>
      <c r="B178">
        <v>1</v>
      </c>
      <c r="E178" t="s">
        <v>6</v>
      </c>
      <c r="F178" t="s">
        <v>198</v>
      </c>
      <c r="G178" t="s">
        <v>199</v>
      </c>
      <c r="H178" t="s">
        <v>35</v>
      </c>
      <c r="I178">
        <f>I176*J178</f>
        <v>0.33354</v>
      </c>
      <c r="J178">
        <v>30.6</v>
      </c>
      <c r="K178">
        <v>10.199999999999999</v>
      </c>
      <c r="O178">
        <f t="shared" si="203"/>
        <v>2208.77</v>
      </c>
      <c r="P178">
        <f t="shared" si="204"/>
        <v>2208.77</v>
      </c>
      <c r="Q178">
        <f t="shared" si="205"/>
        <v>0</v>
      </c>
      <c r="R178">
        <f t="shared" si="206"/>
        <v>0</v>
      </c>
      <c r="S178">
        <f t="shared" si="207"/>
        <v>0</v>
      </c>
      <c r="T178">
        <f t="shared" si="208"/>
        <v>0</v>
      </c>
      <c r="U178">
        <f t="shared" si="209"/>
        <v>0</v>
      </c>
      <c r="V178">
        <f t="shared" si="210"/>
        <v>0</v>
      </c>
      <c r="W178">
        <f t="shared" si="211"/>
        <v>0</v>
      </c>
      <c r="X178">
        <f t="shared" si="212"/>
        <v>0</v>
      </c>
      <c r="Y178">
        <f t="shared" si="213"/>
        <v>0</v>
      </c>
      <c r="AA178">
        <v>-1</v>
      </c>
      <c r="AB178">
        <f t="shared" si="214"/>
        <v>517.14</v>
      </c>
      <c r="AC178">
        <f t="shared" si="215"/>
        <v>517.14</v>
      </c>
      <c r="AD178">
        <f t="shared" si="216"/>
        <v>0</v>
      </c>
      <c r="AE178">
        <f t="shared" si="217"/>
        <v>0</v>
      </c>
      <c r="AF178">
        <f t="shared" si="217"/>
        <v>0</v>
      </c>
      <c r="AG178">
        <f t="shared" si="218"/>
        <v>0</v>
      </c>
      <c r="AH178">
        <f t="shared" si="219"/>
        <v>0</v>
      </c>
      <c r="AI178">
        <f t="shared" si="219"/>
        <v>0</v>
      </c>
      <c r="AJ178">
        <f t="shared" si="220"/>
        <v>0</v>
      </c>
      <c r="AK178">
        <v>517.14</v>
      </c>
      <c r="AL178">
        <v>517.14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1.0469999999999999</v>
      </c>
      <c r="AW178">
        <v>1.002</v>
      </c>
      <c r="AZ178">
        <v>1</v>
      </c>
      <c r="BA178">
        <v>1</v>
      </c>
      <c r="BB178">
        <v>1</v>
      </c>
      <c r="BC178">
        <v>12.78</v>
      </c>
      <c r="BD178" t="s">
        <v>6</v>
      </c>
      <c r="BE178" t="s">
        <v>6</v>
      </c>
      <c r="BF178" t="s">
        <v>6</v>
      </c>
      <c r="BG178" t="s">
        <v>6</v>
      </c>
      <c r="BH178">
        <v>3</v>
      </c>
      <c r="BI178">
        <v>1</v>
      </c>
      <c r="BJ178" t="s">
        <v>200</v>
      </c>
      <c r="BM178">
        <v>152</v>
      </c>
      <c r="BN178">
        <v>0</v>
      </c>
      <c r="BO178" t="s">
        <v>198</v>
      </c>
      <c r="BP178">
        <v>1</v>
      </c>
      <c r="BQ178">
        <v>30</v>
      </c>
      <c r="BR178">
        <v>0</v>
      </c>
      <c r="BS178">
        <v>1</v>
      </c>
      <c r="BT178">
        <v>1</v>
      </c>
      <c r="BU178">
        <v>1</v>
      </c>
      <c r="BV178">
        <v>1</v>
      </c>
      <c r="BW178">
        <v>1</v>
      </c>
      <c r="BX178">
        <v>1</v>
      </c>
      <c r="BY178" t="s">
        <v>6</v>
      </c>
      <c r="BZ178">
        <v>0</v>
      </c>
      <c r="CA178">
        <v>0</v>
      </c>
      <c r="CB178" t="s">
        <v>6</v>
      </c>
      <c r="CE178">
        <v>30</v>
      </c>
      <c r="CF178">
        <v>0</v>
      </c>
      <c r="CG178">
        <v>0</v>
      </c>
      <c r="CM178">
        <v>0</v>
      </c>
      <c r="CN178" t="s">
        <v>6</v>
      </c>
      <c r="CO178">
        <v>0</v>
      </c>
      <c r="CP178">
        <f t="shared" si="221"/>
        <v>2208.77</v>
      </c>
      <c r="CQ178">
        <f t="shared" si="222"/>
        <v>6622.21</v>
      </c>
      <c r="CR178">
        <f t="shared" si="223"/>
        <v>0</v>
      </c>
      <c r="CS178">
        <f t="shared" si="224"/>
        <v>0</v>
      </c>
      <c r="CT178">
        <f t="shared" si="225"/>
        <v>0</v>
      </c>
      <c r="CU178">
        <f t="shared" si="226"/>
        <v>0</v>
      </c>
      <c r="CV178">
        <f t="shared" si="227"/>
        <v>0</v>
      </c>
      <c r="CW178">
        <f t="shared" si="228"/>
        <v>0</v>
      </c>
      <c r="CX178">
        <f t="shared" si="229"/>
        <v>0</v>
      </c>
      <c r="CY178">
        <f>S178*(BZ178/100)</f>
        <v>0</v>
      </c>
      <c r="CZ178">
        <f>S178*(CA178/100)</f>
        <v>0</v>
      </c>
      <c r="DC178" t="s">
        <v>6</v>
      </c>
      <c r="DD178" t="s">
        <v>6</v>
      </c>
      <c r="DE178" t="s">
        <v>6</v>
      </c>
      <c r="DF178" t="s">
        <v>6</v>
      </c>
      <c r="DG178" t="s">
        <v>6</v>
      </c>
      <c r="DH178" t="s">
        <v>6</v>
      </c>
      <c r="DI178" t="s">
        <v>6</v>
      </c>
      <c r="DJ178" t="s">
        <v>6</v>
      </c>
      <c r="DK178" t="s">
        <v>6</v>
      </c>
      <c r="DL178" t="s">
        <v>6</v>
      </c>
      <c r="DM178" t="s">
        <v>6</v>
      </c>
      <c r="DN178">
        <v>161</v>
      </c>
      <c r="DO178">
        <v>107</v>
      </c>
      <c r="DP178">
        <v>1.0469999999999999</v>
      </c>
      <c r="DQ178">
        <v>1.002</v>
      </c>
      <c r="DU178">
        <v>1007</v>
      </c>
      <c r="DV178" t="s">
        <v>35</v>
      </c>
      <c r="DW178" t="s">
        <v>35</v>
      </c>
      <c r="DX178">
        <v>1</v>
      </c>
      <c r="DZ178" t="s">
        <v>6</v>
      </c>
      <c r="EA178" t="s">
        <v>6</v>
      </c>
      <c r="EB178" t="s">
        <v>6</v>
      </c>
      <c r="EC178" t="s">
        <v>6</v>
      </c>
      <c r="EE178">
        <v>69252777</v>
      </c>
      <c r="EF178">
        <v>30</v>
      </c>
      <c r="EG178" t="s">
        <v>29</v>
      </c>
      <c r="EH178">
        <v>0</v>
      </c>
      <c r="EI178" t="s">
        <v>6</v>
      </c>
      <c r="EJ178">
        <v>1</v>
      </c>
      <c r="EK178">
        <v>152</v>
      </c>
      <c r="EL178" t="s">
        <v>195</v>
      </c>
      <c r="EM178" t="s">
        <v>196</v>
      </c>
      <c r="EO178" t="s">
        <v>6</v>
      </c>
      <c r="EQ178">
        <v>1024</v>
      </c>
      <c r="ER178">
        <v>517.14</v>
      </c>
      <c r="ES178">
        <v>517.14</v>
      </c>
      <c r="ET178">
        <v>0</v>
      </c>
      <c r="EU178">
        <v>0</v>
      </c>
      <c r="EV178">
        <v>0</v>
      </c>
      <c r="EW178">
        <v>0</v>
      </c>
      <c r="EX178">
        <v>0</v>
      </c>
      <c r="FQ178">
        <v>0</v>
      </c>
      <c r="FR178">
        <f t="shared" si="230"/>
        <v>0</v>
      </c>
      <c r="FS178">
        <v>0</v>
      </c>
      <c r="FX178">
        <v>161</v>
      </c>
      <c r="FY178">
        <v>107</v>
      </c>
      <c r="GA178" t="s">
        <v>6</v>
      </c>
      <c r="GD178">
        <v>0</v>
      </c>
      <c r="GF178">
        <v>772680519</v>
      </c>
      <c r="GG178">
        <v>2</v>
      </c>
      <c r="GH178">
        <v>1</v>
      </c>
      <c r="GI178">
        <v>2</v>
      </c>
      <c r="GJ178">
        <v>0</v>
      </c>
      <c r="GK178">
        <f>ROUND(R178*(S12)/100,2)</f>
        <v>0</v>
      </c>
      <c r="GL178">
        <f t="shared" si="231"/>
        <v>0</v>
      </c>
      <c r="GM178">
        <f t="shared" si="232"/>
        <v>2208.77</v>
      </c>
      <c r="GN178">
        <f t="shared" si="233"/>
        <v>2208.77</v>
      </c>
      <c r="GO178">
        <f t="shared" si="234"/>
        <v>0</v>
      </c>
      <c r="GP178">
        <f t="shared" si="235"/>
        <v>0</v>
      </c>
      <c r="GR178">
        <v>0</v>
      </c>
      <c r="GS178">
        <v>0</v>
      </c>
      <c r="GT178">
        <v>0</v>
      </c>
      <c r="GU178" t="s">
        <v>6</v>
      </c>
      <c r="GV178">
        <f t="shared" si="236"/>
        <v>0</v>
      </c>
      <c r="GW178">
        <v>1</v>
      </c>
      <c r="GX178">
        <f t="shared" si="237"/>
        <v>0</v>
      </c>
      <c r="HA178">
        <v>0</v>
      </c>
      <c r="HB178">
        <v>0</v>
      </c>
      <c r="HC178">
        <f t="shared" si="238"/>
        <v>0</v>
      </c>
      <c r="HE178" t="s">
        <v>6</v>
      </c>
      <c r="HF178" t="s">
        <v>6</v>
      </c>
      <c r="HM178" t="s">
        <v>6</v>
      </c>
      <c r="HN178" t="s">
        <v>6</v>
      </c>
      <c r="HO178" t="s">
        <v>6</v>
      </c>
      <c r="HP178" t="s">
        <v>6</v>
      </c>
      <c r="HQ178" t="s">
        <v>6</v>
      </c>
      <c r="IK178">
        <v>0</v>
      </c>
    </row>
    <row r="179" spans="1:255">
      <c r="A179" s="2">
        <v>17</v>
      </c>
      <c r="B179" s="2">
        <v>1</v>
      </c>
      <c r="C179" s="2"/>
      <c r="D179" s="2"/>
      <c r="E179" s="2" t="s">
        <v>216</v>
      </c>
      <c r="F179" s="2" t="s">
        <v>217</v>
      </c>
      <c r="G179" s="2" t="s">
        <v>218</v>
      </c>
      <c r="H179" s="2" t="s">
        <v>219</v>
      </c>
      <c r="I179" s="2">
        <f>ROUND((1514.4)/100,9)</f>
        <v>15.144</v>
      </c>
      <c r="J179" s="2">
        <v>0</v>
      </c>
      <c r="K179" s="2">
        <f>ROUND((1514.4)/100,9)</f>
        <v>15.144</v>
      </c>
      <c r="L179" s="2"/>
      <c r="M179" s="2"/>
      <c r="N179" s="2"/>
      <c r="O179" s="2">
        <f t="shared" si="203"/>
        <v>10143.799999999999</v>
      </c>
      <c r="P179" s="2">
        <f t="shared" si="204"/>
        <v>875.78</v>
      </c>
      <c r="Q179" s="2">
        <f t="shared" si="205"/>
        <v>8440.82</v>
      </c>
      <c r="R179" s="2">
        <f t="shared" si="206"/>
        <v>738.56</v>
      </c>
      <c r="S179" s="2">
        <f t="shared" si="207"/>
        <v>827.2</v>
      </c>
      <c r="T179" s="2">
        <f t="shared" si="208"/>
        <v>0</v>
      </c>
      <c r="U179" s="2">
        <f t="shared" si="209"/>
        <v>68.021244719999999</v>
      </c>
      <c r="V179" s="2">
        <f t="shared" si="210"/>
        <v>0</v>
      </c>
      <c r="W179" s="2">
        <f t="shared" si="211"/>
        <v>0</v>
      </c>
      <c r="X179" s="2">
        <f t="shared" si="212"/>
        <v>1331.79</v>
      </c>
      <c r="Y179" s="2">
        <f t="shared" si="213"/>
        <v>885.1</v>
      </c>
      <c r="Z179" s="2"/>
      <c r="AA179" s="2">
        <v>70322058</v>
      </c>
      <c r="AB179" s="2">
        <f t="shared" si="214"/>
        <v>642.35</v>
      </c>
      <c r="AC179" s="2">
        <f t="shared" si="215"/>
        <v>57.83</v>
      </c>
      <c r="AD179" s="2">
        <f t="shared" si="216"/>
        <v>532.35</v>
      </c>
      <c r="AE179" s="2">
        <f t="shared" si="217"/>
        <v>46.58</v>
      </c>
      <c r="AF179" s="2">
        <f t="shared" si="217"/>
        <v>52.17</v>
      </c>
      <c r="AG179" s="2">
        <f t="shared" si="218"/>
        <v>0</v>
      </c>
      <c r="AH179" s="2">
        <f t="shared" si="219"/>
        <v>4.29</v>
      </c>
      <c r="AI179" s="2">
        <f t="shared" si="219"/>
        <v>0</v>
      </c>
      <c r="AJ179" s="2">
        <f t="shared" si="220"/>
        <v>0</v>
      </c>
      <c r="AK179" s="2">
        <v>642.35</v>
      </c>
      <c r="AL179" s="2">
        <v>57.83</v>
      </c>
      <c r="AM179" s="2">
        <v>532.35</v>
      </c>
      <c r="AN179" s="2">
        <v>46.58</v>
      </c>
      <c r="AO179" s="2">
        <v>52.17</v>
      </c>
      <c r="AP179" s="2">
        <v>0</v>
      </c>
      <c r="AQ179" s="2">
        <v>4.29</v>
      </c>
      <c r="AR179" s="2">
        <v>0</v>
      </c>
      <c r="AS179" s="2">
        <v>0</v>
      </c>
      <c r="AT179" s="2">
        <v>161</v>
      </c>
      <c r="AU179" s="2">
        <v>107</v>
      </c>
      <c r="AV179" s="2">
        <v>1.0469999999999999</v>
      </c>
      <c r="AW179" s="2">
        <v>1</v>
      </c>
      <c r="AX179" s="2"/>
      <c r="AY179" s="2"/>
      <c r="AZ179" s="2">
        <v>1</v>
      </c>
      <c r="BA179" s="2">
        <v>1</v>
      </c>
      <c r="BB179" s="2">
        <v>1</v>
      </c>
      <c r="BC179" s="2">
        <v>1</v>
      </c>
      <c r="BD179" s="2" t="s">
        <v>6</v>
      </c>
      <c r="BE179" s="2" t="s">
        <v>6</v>
      </c>
      <c r="BF179" s="2" t="s">
        <v>6</v>
      </c>
      <c r="BG179" s="2" t="s">
        <v>6</v>
      </c>
      <c r="BH179" s="2">
        <v>0</v>
      </c>
      <c r="BI179" s="2">
        <v>1</v>
      </c>
      <c r="BJ179" s="2" t="s">
        <v>220</v>
      </c>
      <c r="BK179" s="2"/>
      <c r="BL179" s="2"/>
      <c r="BM179" s="2">
        <v>158</v>
      </c>
      <c r="BN179" s="2">
        <v>0</v>
      </c>
      <c r="BO179" s="2" t="s">
        <v>6</v>
      </c>
      <c r="BP179" s="2">
        <v>0</v>
      </c>
      <c r="BQ179" s="2">
        <v>30</v>
      </c>
      <c r="BR179" s="2">
        <v>0</v>
      </c>
      <c r="BS179" s="2">
        <v>1</v>
      </c>
      <c r="BT179" s="2">
        <v>1</v>
      </c>
      <c r="BU179" s="2">
        <v>1</v>
      </c>
      <c r="BV179" s="2">
        <v>1</v>
      </c>
      <c r="BW179" s="2">
        <v>1</v>
      </c>
      <c r="BX179" s="2">
        <v>1</v>
      </c>
      <c r="BY179" s="2" t="s">
        <v>6</v>
      </c>
      <c r="BZ179" s="2">
        <v>161</v>
      </c>
      <c r="CA179" s="2">
        <v>107</v>
      </c>
      <c r="CB179" s="2" t="s">
        <v>6</v>
      </c>
      <c r="CC179" s="2"/>
      <c r="CD179" s="2"/>
      <c r="CE179" s="2">
        <v>30</v>
      </c>
      <c r="CF179" s="2">
        <v>0</v>
      </c>
      <c r="CG179" s="2">
        <v>0</v>
      </c>
      <c r="CH179" s="2"/>
      <c r="CI179" s="2"/>
      <c r="CJ179" s="2"/>
      <c r="CK179" s="2"/>
      <c r="CL179" s="2"/>
      <c r="CM179" s="2">
        <v>0</v>
      </c>
      <c r="CN179" s="2" t="s">
        <v>6</v>
      </c>
      <c r="CO179" s="2">
        <v>0</v>
      </c>
      <c r="CP179" s="2">
        <f t="shared" si="221"/>
        <v>10143.800000000001</v>
      </c>
      <c r="CQ179" s="2">
        <f t="shared" si="222"/>
        <v>57.83</v>
      </c>
      <c r="CR179" s="2">
        <f t="shared" si="223"/>
        <v>557.37</v>
      </c>
      <c r="CS179" s="2">
        <f t="shared" si="224"/>
        <v>48.77</v>
      </c>
      <c r="CT179" s="2">
        <f t="shared" si="225"/>
        <v>54.62</v>
      </c>
      <c r="CU179" s="2">
        <f t="shared" si="226"/>
        <v>0</v>
      </c>
      <c r="CV179" s="2">
        <f t="shared" si="227"/>
        <v>4.4916299999999998</v>
      </c>
      <c r="CW179" s="2">
        <f t="shared" si="228"/>
        <v>0</v>
      </c>
      <c r="CX179" s="2">
        <f t="shared" si="229"/>
        <v>0</v>
      </c>
      <c r="CY179" s="2">
        <f>((S179*BZ179)/100)</f>
        <v>1331.7920000000001</v>
      </c>
      <c r="CZ179" s="2">
        <f>((S179*CA179)/100)</f>
        <v>885.10400000000004</v>
      </c>
      <c r="DA179" s="2"/>
      <c r="DB179" s="2"/>
      <c r="DC179" s="2" t="s">
        <v>6</v>
      </c>
      <c r="DD179" s="2" t="s">
        <v>6</v>
      </c>
      <c r="DE179" s="2" t="s">
        <v>6</v>
      </c>
      <c r="DF179" s="2" t="s">
        <v>6</v>
      </c>
      <c r="DG179" s="2" t="s">
        <v>6</v>
      </c>
      <c r="DH179" s="2" t="s">
        <v>6</v>
      </c>
      <c r="DI179" s="2" t="s">
        <v>6</v>
      </c>
      <c r="DJ179" s="2" t="s">
        <v>6</v>
      </c>
      <c r="DK179" s="2" t="s">
        <v>6</v>
      </c>
      <c r="DL179" s="2" t="s">
        <v>6</v>
      </c>
      <c r="DM179" s="2" t="s">
        <v>6</v>
      </c>
      <c r="DN179" s="2">
        <v>0</v>
      </c>
      <c r="DO179" s="2">
        <v>0</v>
      </c>
      <c r="DP179" s="2">
        <v>1</v>
      </c>
      <c r="DQ179" s="2">
        <v>1</v>
      </c>
      <c r="DR179" s="2"/>
      <c r="DS179" s="2"/>
      <c r="DT179" s="2"/>
      <c r="DU179" s="2">
        <v>1013</v>
      </c>
      <c r="DV179" s="2" t="s">
        <v>219</v>
      </c>
      <c r="DW179" s="2" t="s">
        <v>219</v>
      </c>
      <c r="DX179" s="2">
        <v>1</v>
      </c>
      <c r="DY179" s="2"/>
      <c r="DZ179" s="2" t="s">
        <v>6</v>
      </c>
      <c r="EA179" s="2" t="s">
        <v>6</v>
      </c>
      <c r="EB179" s="2" t="s">
        <v>6</v>
      </c>
      <c r="EC179" s="2" t="s">
        <v>6</v>
      </c>
      <c r="ED179" s="2"/>
      <c r="EE179" s="2">
        <v>69252783</v>
      </c>
      <c r="EF179" s="2">
        <v>30</v>
      </c>
      <c r="EG179" s="2" t="s">
        <v>29</v>
      </c>
      <c r="EH179" s="2">
        <v>0</v>
      </c>
      <c r="EI179" s="2" t="s">
        <v>6</v>
      </c>
      <c r="EJ179" s="2">
        <v>1</v>
      </c>
      <c r="EK179" s="2">
        <v>158</v>
      </c>
      <c r="EL179" s="2" t="s">
        <v>221</v>
      </c>
      <c r="EM179" s="2" t="s">
        <v>222</v>
      </c>
      <c r="EN179" s="2"/>
      <c r="EO179" s="2" t="s">
        <v>6</v>
      </c>
      <c r="EP179" s="2"/>
      <c r="EQ179" s="2">
        <v>0</v>
      </c>
      <c r="ER179" s="2">
        <v>642.35</v>
      </c>
      <c r="ES179" s="2">
        <v>57.83</v>
      </c>
      <c r="ET179" s="2">
        <v>532.35</v>
      </c>
      <c r="EU179" s="2">
        <v>46.58</v>
      </c>
      <c r="EV179" s="2">
        <v>52.17</v>
      </c>
      <c r="EW179" s="2">
        <v>4.29</v>
      </c>
      <c r="EX179" s="2">
        <v>0</v>
      </c>
      <c r="EY179" s="2">
        <v>0</v>
      </c>
      <c r="EZ179" s="2"/>
      <c r="FA179" s="2"/>
      <c r="FB179" s="2"/>
      <c r="FC179" s="2"/>
      <c r="FD179" s="2"/>
      <c r="FE179" s="2"/>
      <c r="FF179" s="2"/>
      <c r="FG179" s="2"/>
      <c r="FH179" s="2"/>
      <c r="FI179" s="2"/>
      <c r="FJ179" s="2"/>
      <c r="FK179" s="2"/>
      <c r="FL179" s="2"/>
      <c r="FM179" s="2"/>
      <c r="FN179" s="2"/>
      <c r="FO179" s="2"/>
      <c r="FP179" s="2"/>
      <c r="FQ179" s="2">
        <v>0</v>
      </c>
      <c r="FR179" s="2">
        <f t="shared" si="230"/>
        <v>0</v>
      </c>
      <c r="FS179" s="2">
        <v>0</v>
      </c>
      <c r="FT179" s="2"/>
      <c r="FU179" s="2"/>
      <c r="FV179" s="2"/>
      <c r="FW179" s="2"/>
      <c r="FX179" s="2">
        <v>161</v>
      </c>
      <c r="FY179" s="2">
        <v>107</v>
      </c>
      <c r="FZ179" s="2"/>
      <c r="GA179" s="2" t="s">
        <v>6</v>
      </c>
      <c r="GB179" s="2"/>
      <c r="GC179" s="2"/>
      <c r="GD179" s="2">
        <v>0</v>
      </c>
      <c r="GE179" s="2"/>
      <c r="GF179" s="2">
        <v>-46737233</v>
      </c>
      <c r="GG179" s="2">
        <v>2</v>
      </c>
      <c r="GH179" s="2">
        <v>1</v>
      </c>
      <c r="GI179" s="2">
        <v>-2</v>
      </c>
      <c r="GJ179" s="2">
        <v>0</v>
      </c>
      <c r="GK179" s="2">
        <f>ROUND(R179*(R12)/100,2)</f>
        <v>1292.48</v>
      </c>
      <c r="GL179" s="2">
        <f t="shared" si="231"/>
        <v>0</v>
      </c>
      <c r="GM179" s="2">
        <f t="shared" si="232"/>
        <v>13653.17</v>
      </c>
      <c r="GN179" s="2">
        <f t="shared" si="233"/>
        <v>13653.17</v>
      </c>
      <c r="GO179" s="2">
        <f t="shared" si="234"/>
        <v>0</v>
      </c>
      <c r="GP179" s="2">
        <f t="shared" si="235"/>
        <v>0</v>
      </c>
      <c r="GQ179" s="2"/>
      <c r="GR179" s="2">
        <v>0</v>
      </c>
      <c r="GS179" s="2">
        <v>3</v>
      </c>
      <c r="GT179" s="2">
        <v>0</v>
      </c>
      <c r="GU179" s="2" t="s">
        <v>6</v>
      </c>
      <c r="GV179" s="2">
        <f t="shared" si="236"/>
        <v>0</v>
      </c>
      <c r="GW179" s="2">
        <v>1</v>
      </c>
      <c r="GX179" s="2">
        <f t="shared" si="237"/>
        <v>0</v>
      </c>
      <c r="GY179" s="2"/>
      <c r="GZ179" s="2"/>
      <c r="HA179" s="2">
        <v>0</v>
      </c>
      <c r="HB179" s="2">
        <v>0</v>
      </c>
      <c r="HC179" s="2">
        <f t="shared" si="238"/>
        <v>0</v>
      </c>
      <c r="HD179" s="2"/>
      <c r="HE179" s="2" t="s">
        <v>6</v>
      </c>
      <c r="HF179" s="2" t="s">
        <v>6</v>
      </c>
      <c r="HG179" s="2"/>
      <c r="HH179" s="2"/>
      <c r="HI179" s="2"/>
      <c r="HJ179" s="2"/>
      <c r="HK179" s="2"/>
      <c r="HL179" s="2"/>
      <c r="HM179" s="2" t="s">
        <v>6</v>
      </c>
      <c r="HN179" s="2" t="s">
        <v>6</v>
      </c>
      <c r="HO179" s="2" t="s">
        <v>6</v>
      </c>
      <c r="HP179" s="2" t="s">
        <v>6</v>
      </c>
      <c r="HQ179" s="2" t="s">
        <v>6</v>
      </c>
      <c r="HR179" s="2"/>
      <c r="HS179" s="2"/>
      <c r="HT179" s="2"/>
      <c r="HU179" s="2"/>
      <c r="HV179" s="2"/>
      <c r="HW179" s="2"/>
      <c r="HX179" s="2"/>
      <c r="HY179" s="2"/>
      <c r="HZ179" s="2"/>
      <c r="IA179" s="2"/>
      <c r="IB179" s="2"/>
      <c r="IC179" s="2"/>
      <c r="ID179" s="2"/>
      <c r="IE179" s="2"/>
      <c r="IF179" s="2"/>
      <c r="IG179" s="2"/>
      <c r="IH179" s="2"/>
      <c r="II179" s="2"/>
      <c r="IJ179" s="2"/>
      <c r="IK179" s="2">
        <v>0</v>
      </c>
      <c r="IL179" s="2"/>
      <c r="IM179" s="2"/>
      <c r="IN179" s="2"/>
      <c r="IO179" s="2"/>
      <c r="IP179" s="2"/>
      <c r="IQ179" s="2"/>
      <c r="IR179" s="2"/>
      <c r="IS179" s="2"/>
      <c r="IT179" s="2"/>
      <c r="IU179" s="2"/>
    </row>
    <row r="180" spans="1:255">
      <c r="A180">
        <v>17</v>
      </c>
      <c r="B180">
        <v>1</v>
      </c>
      <c r="E180" t="s">
        <v>216</v>
      </c>
      <c r="F180" t="s">
        <v>217</v>
      </c>
      <c r="G180" t="s">
        <v>218</v>
      </c>
      <c r="H180" t="s">
        <v>219</v>
      </c>
      <c r="I180">
        <f>ROUND((1514.4)/100,9)</f>
        <v>15.144</v>
      </c>
      <c r="J180">
        <v>0</v>
      </c>
      <c r="K180">
        <f>ROUND((1514.4)/100,9)</f>
        <v>15.144</v>
      </c>
      <c r="O180">
        <f t="shared" si="203"/>
        <v>166485.32</v>
      </c>
      <c r="P180">
        <f t="shared" si="204"/>
        <v>14266.46</v>
      </c>
      <c r="Q180">
        <f t="shared" si="205"/>
        <v>113613.44</v>
      </c>
      <c r="R180">
        <f t="shared" si="206"/>
        <v>34468.6</v>
      </c>
      <c r="S180">
        <f t="shared" si="207"/>
        <v>38605.42</v>
      </c>
      <c r="T180">
        <f t="shared" si="208"/>
        <v>0</v>
      </c>
      <c r="U180">
        <f t="shared" si="209"/>
        <v>68.021244719999999</v>
      </c>
      <c r="V180">
        <f t="shared" si="210"/>
        <v>0</v>
      </c>
      <c r="W180">
        <f t="shared" si="211"/>
        <v>0</v>
      </c>
      <c r="X180">
        <f t="shared" si="212"/>
        <v>51731.26</v>
      </c>
      <c r="Y180">
        <f t="shared" si="213"/>
        <v>21232.98</v>
      </c>
      <c r="AA180">
        <v>70322059</v>
      </c>
      <c r="AB180">
        <f t="shared" si="214"/>
        <v>642.35</v>
      </c>
      <c r="AC180">
        <f t="shared" si="215"/>
        <v>57.83</v>
      </c>
      <c r="AD180">
        <f t="shared" si="216"/>
        <v>532.35</v>
      </c>
      <c r="AE180">
        <f t="shared" si="217"/>
        <v>46.58</v>
      </c>
      <c r="AF180">
        <f t="shared" si="217"/>
        <v>52.17</v>
      </c>
      <c r="AG180">
        <f t="shared" si="218"/>
        <v>0</v>
      </c>
      <c r="AH180">
        <f t="shared" si="219"/>
        <v>4.29</v>
      </c>
      <c r="AI180">
        <f t="shared" si="219"/>
        <v>0</v>
      </c>
      <c r="AJ180">
        <f t="shared" si="220"/>
        <v>0</v>
      </c>
      <c r="AK180">
        <v>642.35</v>
      </c>
      <c r="AL180">
        <v>57.83</v>
      </c>
      <c r="AM180">
        <v>532.35</v>
      </c>
      <c r="AN180">
        <v>46.58</v>
      </c>
      <c r="AO180">
        <v>52.17</v>
      </c>
      <c r="AP180">
        <v>0</v>
      </c>
      <c r="AQ180">
        <v>4.29</v>
      </c>
      <c r="AR180">
        <v>0</v>
      </c>
      <c r="AS180">
        <v>0</v>
      </c>
      <c r="AT180">
        <v>134</v>
      </c>
      <c r="AU180">
        <v>55</v>
      </c>
      <c r="AV180">
        <v>1.0469999999999999</v>
      </c>
      <c r="AW180">
        <v>1</v>
      </c>
      <c r="AZ180">
        <v>1</v>
      </c>
      <c r="BA180">
        <v>46.67</v>
      </c>
      <c r="BB180">
        <v>13.46</v>
      </c>
      <c r="BC180">
        <v>16.29</v>
      </c>
      <c r="BD180" t="s">
        <v>6</v>
      </c>
      <c r="BE180" t="s">
        <v>6</v>
      </c>
      <c r="BF180" t="s">
        <v>6</v>
      </c>
      <c r="BG180" t="s">
        <v>6</v>
      </c>
      <c r="BH180">
        <v>0</v>
      </c>
      <c r="BI180">
        <v>1</v>
      </c>
      <c r="BJ180" t="s">
        <v>220</v>
      </c>
      <c r="BM180">
        <v>158</v>
      </c>
      <c r="BN180">
        <v>0</v>
      </c>
      <c r="BO180" t="s">
        <v>217</v>
      </c>
      <c r="BP180">
        <v>1</v>
      </c>
      <c r="BQ180">
        <v>30</v>
      </c>
      <c r="BR180">
        <v>0</v>
      </c>
      <c r="BS180">
        <v>46.67</v>
      </c>
      <c r="BT180">
        <v>1</v>
      </c>
      <c r="BU180">
        <v>1</v>
      </c>
      <c r="BV180">
        <v>1</v>
      </c>
      <c r="BW180">
        <v>1</v>
      </c>
      <c r="BX180">
        <v>1</v>
      </c>
      <c r="BY180" t="s">
        <v>6</v>
      </c>
      <c r="BZ180">
        <v>134</v>
      </c>
      <c r="CA180">
        <v>55</v>
      </c>
      <c r="CB180" t="s">
        <v>6</v>
      </c>
      <c r="CE180">
        <v>30</v>
      </c>
      <c r="CF180">
        <v>0</v>
      </c>
      <c r="CG180">
        <v>0</v>
      </c>
      <c r="CM180">
        <v>0</v>
      </c>
      <c r="CN180" t="s">
        <v>6</v>
      </c>
      <c r="CO180">
        <v>0</v>
      </c>
      <c r="CP180">
        <f t="shared" si="221"/>
        <v>166485.32</v>
      </c>
      <c r="CQ180">
        <f t="shared" si="222"/>
        <v>942.05</v>
      </c>
      <c r="CR180">
        <f t="shared" si="223"/>
        <v>7502.2</v>
      </c>
      <c r="CS180">
        <f t="shared" si="224"/>
        <v>2276.1</v>
      </c>
      <c r="CT180">
        <f t="shared" si="225"/>
        <v>2549.12</v>
      </c>
      <c r="CU180">
        <f t="shared" si="226"/>
        <v>0</v>
      </c>
      <c r="CV180">
        <f t="shared" si="227"/>
        <v>4.4916299999999998</v>
      </c>
      <c r="CW180">
        <f t="shared" si="228"/>
        <v>0</v>
      </c>
      <c r="CX180">
        <f t="shared" si="229"/>
        <v>0</v>
      </c>
      <c r="CY180">
        <f>S180*(BZ180/100)</f>
        <v>51731.262800000004</v>
      </c>
      <c r="CZ180">
        <f>S180*(CA180/100)</f>
        <v>21232.981</v>
      </c>
      <c r="DC180" t="s">
        <v>6</v>
      </c>
      <c r="DD180" t="s">
        <v>6</v>
      </c>
      <c r="DE180" t="s">
        <v>6</v>
      </c>
      <c r="DF180" t="s">
        <v>6</v>
      </c>
      <c r="DG180" t="s">
        <v>6</v>
      </c>
      <c r="DH180" t="s">
        <v>6</v>
      </c>
      <c r="DI180" t="s">
        <v>6</v>
      </c>
      <c r="DJ180" t="s">
        <v>6</v>
      </c>
      <c r="DK180" t="s">
        <v>6</v>
      </c>
      <c r="DL180" t="s">
        <v>6</v>
      </c>
      <c r="DM180" t="s">
        <v>6</v>
      </c>
      <c r="DN180">
        <v>161</v>
      </c>
      <c r="DO180">
        <v>107</v>
      </c>
      <c r="DP180">
        <v>1.0469999999999999</v>
      </c>
      <c r="DQ180">
        <v>1</v>
      </c>
      <c r="DU180">
        <v>1013</v>
      </c>
      <c r="DV180" t="s">
        <v>219</v>
      </c>
      <c r="DW180" t="s">
        <v>219</v>
      </c>
      <c r="DX180">
        <v>1</v>
      </c>
      <c r="DZ180" t="s">
        <v>6</v>
      </c>
      <c r="EA180" t="s">
        <v>6</v>
      </c>
      <c r="EB180" t="s">
        <v>6</v>
      </c>
      <c r="EC180" t="s">
        <v>6</v>
      </c>
      <c r="EE180">
        <v>69252783</v>
      </c>
      <c r="EF180">
        <v>30</v>
      </c>
      <c r="EG180" t="s">
        <v>29</v>
      </c>
      <c r="EH180">
        <v>0</v>
      </c>
      <c r="EI180" t="s">
        <v>6</v>
      </c>
      <c r="EJ180">
        <v>1</v>
      </c>
      <c r="EK180">
        <v>158</v>
      </c>
      <c r="EL180" t="s">
        <v>221</v>
      </c>
      <c r="EM180" t="s">
        <v>222</v>
      </c>
      <c r="EO180" t="s">
        <v>6</v>
      </c>
      <c r="EQ180">
        <v>0</v>
      </c>
      <c r="ER180">
        <v>642.35</v>
      </c>
      <c r="ES180">
        <v>57.83</v>
      </c>
      <c r="ET180">
        <v>532.35</v>
      </c>
      <c r="EU180">
        <v>46.58</v>
      </c>
      <c r="EV180">
        <v>52.17</v>
      </c>
      <c r="EW180">
        <v>4.29</v>
      </c>
      <c r="EX180">
        <v>0</v>
      </c>
      <c r="EY180">
        <v>0</v>
      </c>
      <c r="FQ180">
        <v>0</v>
      </c>
      <c r="FR180">
        <f t="shared" si="230"/>
        <v>0</v>
      </c>
      <c r="FS180">
        <v>0</v>
      </c>
      <c r="FX180">
        <v>161</v>
      </c>
      <c r="FY180">
        <v>107</v>
      </c>
      <c r="GA180" t="s">
        <v>6</v>
      </c>
      <c r="GD180">
        <v>0</v>
      </c>
      <c r="GF180">
        <v>-46737233</v>
      </c>
      <c r="GG180">
        <v>2</v>
      </c>
      <c r="GH180">
        <v>1</v>
      </c>
      <c r="GI180">
        <v>2</v>
      </c>
      <c r="GJ180">
        <v>0</v>
      </c>
      <c r="GK180">
        <f>ROUND(R180*(S12)/100,2)</f>
        <v>55149.760000000002</v>
      </c>
      <c r="GL180">
        <f t="shared" si="231"/>
        <v>0</v>
      </c>
      <c r="GM180">
        <f t="shared" si="232"/>
        <v>294599.32</v>
      </c>
      <c r="GN180">
        <f t="shared" si="233"/>
        <v>294599.32</v>
      </c>
      <c r="GO180">
        <f t="shared" si="234"/>
        <v>0</v>
      </c>
      <c r="GP180">
        <f t="shared" si="235"/>
        <v>0</v>
      </c>
      <c r="GR180">
        <v>0</v>
      </c>
      <c r="GS180">
        <v>0</v>
      </c>
      <c r="GT180">
        <v>0</v>
      </c>
      <c r="GU180" t="s">
        <v>6</v>
      </c>
      <c r="GV180">
        <f t="shared" si="236"/>
        <v>0</v>
      </c>
      <c r="GW180">
        <v>1</v>
      </c>
      <c r="GX180">
        <f t="shared" si="237"/>
        <v>0</v>
      </c>
      <c r="HA180">
        <v>0</v>
      </c>
      <c r="HB180">
        <v>0</v>
      </c>
      <c r="HC180">
        <f t="shared" si="238"/>
        <v>0</v>
      </c>
      <c r="HE180" t="s">
        <v>6</v>
      </c>
      <c r="HF180" t="s">
        <v>6</v>
      </c>
      <c r="HM180" t="s">
        <v>6</v>
      </c>
      <c r="HN180" t="s">
        <v>6</v>
      </c>
      <c r="HO180" t="s">
        <v>6</v>
      </c>
      <c r="HP180" t="s">
        <v>6</v>
      </c>
      <c r="HQ180" t="s">
        <v>6</v>
      </c>
      <c r="IK180">
        <v>0</v>
      </c>
    </row>
    <row r="181" spans="1:255">
      <c r="A181" s="2">
        <v>18</v>
      </c>
      <c r="B181" s="2">
        <v>1</v>
      </c>
      <c r="C181" s="2"/>
      <c r="D181" s="2"/>
      <c r="E181" s="2" t="s">
        <v>223</v>
      </c>
      <c r="F181" s="2" t="s">
        <v>224</v>
      </c>
      <c r="G181" s="2" t="s">
        <v>225</v>
      </c>
      <c r="H181" s="2" t="s">
        <v>226</v>
      </c>
      <c r="I181" s="2">
        <f>I179*J181</f>
        <v>145.07952</v>
      </c>
      <c r="J181" s="2">
        <v>9.58</v>
      </c>
      <c r="K181" s="2">
        <v>9.58</v>
      </c>
      <c r="L181" s="2"/>
      <c r="M181" s="2"/>
      <c r="N181" s="2"/>
      <c r="O181" s="2">
        <f t="shared" si="203"/>
        <v>44358.06</v>
      </c>
      <c r="P181" s="2">
        <f t="shared" si="204"/>
        <v>44358.06</v>
      </c>
      <c r="Q181" s="2">
        <f t="shared" si="205"/>
        <v>0</v>
      </c>
      <c r="R181" s="2">
        <f t="shared" si="206"/>
        <v>0</v>
      </c>
      <c r="S181" s="2">
        <f t="shared" si="207"/>
        <v>0</v>
      </c>
      <c r="T181" s="2">
        <f t="shared" si="208"/>
        <v>0</v>
      </c>
      <c r="U181" s="2">
        <f t="shared" si="209"/>
        <v>0</v>
      </c>
      <c r="V181" s="2">
        <f t="shared" si="210"/>
        <v>0</v>
      </c>
      <c r="W181" s="2">
        <f t="shared" si="211"/>
        <v>0</v>
      </c>
      <c r="X181" s="2">
        <f t="shared" si="212"/>
        <v>0</v>
      </c>
      <c r="Y181" s="2">
        <f t="shared" si="213"/>
        <v>0</v>
      </c>
      <c r="Z181" s="2"/>
      <c r="AA181" s="2">
        <v>70322058</v>
      </c>
      <c r="AB181" s="2">
        <f t="shared" si="214"/>
        <v>305.75</v>
      </c>
      <c r="AC181" s="2">
        <f t="shared" si="215"/>
        <v>305.75</v>
      </c>
      <c r="AD181" s="2">
        <f t="shared" si="216"/>
        <v>0</v>
      </c>
      <c r="AE181" s="2">
        <f t="shared" si="217"/>
        <v>0</v>
      </c>
      <c r="AF181" s="2">
        <f t="shared" si="217"/>
        <v>0</v>
      </c>
      <c r="AG181" s="2">
        <f t="shared" si="218"/>
        <v>0</v>
      </c>
      <c r="AH181" s="2">
        <f t="shared" si="219"/>
        <v>0</v>
      </c>
      <c r="AI181" s="2">
        <f t="shared" si="219"/>
        <v>0</v>
      </c>
      <c r="AJ181" s="2">
        <f t="shared" si="220"/>
        <v>0</v>
      </c>
      <c r="AK181" s="2">
        <v>305.75</v>
      </c>
      <c r="AL181" s="2">
        <v>305.75</v>
      </c>
      <c r="AM181" s="2">
        <v>0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161</v>
      </c>
      <c r="AU181" s="2">
        <v>107</v>
      </c>
      <c r="AV181" s="2">
        <v>1.0469999999999999</v>
      </c>
      <c r="AW181" s="2">
        <v>1</v>
      </c>
      <c r="AX181" s="2"/>
      <c r="AY181" s="2"/>
      <c r="AZ181" s="2">
        <v>1</v>
      </c>
      <c r="BA181" s="2">
        <v>1</v>
      </c>
      <c r="BB181" s="2">
        <v>1</v>
      </c>
      <c r="BC181" s="2">
        <v>1</v>
      </c>
      <c r="BD181" s="2" t="s">
        <v>6</v>
      </c>
      <c r="BE181" s="2" t="s">
        <v>6</v>
      </c>
      <c r="BF181" s="2" t="s">
        <v>6</v>
      </c>
      <c r="BG181" s="2" t="s">
        <v>6</v>
      </c>
      <c r="BH181" s="2">
        <v>3</v>
      </c>
      <c r="BI181" s="2">
        <v>1</v>
      </c>
      <c r="BJ181" s="2" t="s">
        <v>227</v>
      </c>
      <c r="BK181" s="2"/>
      <c r="BL181" s="2"/>
      <c r="BM181" s="2">
        <v>158</v>
      </c>
      <c r="BN181" s="2">
        <v>0</v>
      </c>
      <c r="BO181" s="2" t="s">
        <v>6</v>
      </c>
      <c r="BP181" s="2">
        <v>0</v>
      </c>
      <c r="BQ181" s="2">
        <v>30</v>
      </c>
      <c r="BR181" s="2">
        <v>0</v>
      </c>
      <c r="BS181" s="2">
        <v>1</v>
      </c>
      <c r="BT181" s="2">
        <v>1</v>
      </c>
      <c r="BU181" s="2">
        <v>1</v>
      </c>
      <c r="BV181" s="2">
        <v>1</v>
      </c>
      <c r="BW181" s="2">
        <v>1</v>
      </c>
      <c r="BX181" s="2">
        <v>1</v>
      </c>
      <c r="BY181" s="2" t="s">
        <v>6</v>
      </c>
      <c r="BZ181" s="2">
        <v>161</v>
      </c>
      <c r="CA181" s="2">
        <v>107</v>
      </c>
      <c r="CB181" s="2" t="s">
        <v>6</v>
      </c>
      <c r="CC181" s="2"/>
      <c r="CD181" s="2"/>
      <c r="CE181" s="2">
        <v>30</v>
      </c>
      <c r="CF181" s="2">
        <v>0</v>
      </c>
      <c r="CG181" s="2">
        <v>0</v>
      </c>
      <c r="CH181" s="2"/>
      <c r="CI181" s="2"/>
      <c r="CJ181" s="2"/>
      <c r="CK181" s="2"/>
      <c r="CL181" s="2"/>
      <c r="CM181" s="2">
        <v>0</v>
      </c>
      <c r="CN181" s="2" t="s">
        <v>6</v>
      </c>
      <c r="CO181" s="2">
        <v>0</v>
      </c>
      <c r="CP181" s="2">
        <f t="shared" si="221"/>
        <v>44358.06</v>
      </c>
      <c r="CQ181" s="2">
        <f t="shared" si="222"/>
        <v>305.75</v>
      </c>
      <c r="CR181" s="2">
        <f t="shared" si="223"/>
        <v>0</v>
      </c>
      <c r="CS181" s="2">
        <f t="shared" si="224"/>
        <v>0</v>
      </c>
      <c r="CT181" s="2">
        <f t="shared" si="225"/>
        <v>0</v>
      </c>
      <c r="CU181" s="2">
        <f t="shared" si="226"/>
        <v>0</v>
      </c>
      <c r="CV181" s="2">
        <f t="shared" si="227"/>
        <v>0</v>
      </c>
      <c r="CW181" s="2">
        <f t="shared" si="228"/>
        <v>0</v>
      </c>
      <c r="CX181" s="2">
        <f t="shared" si="229"/>
        <v>0</v>
      </c>
      <c r="CY181" s="2">
        <f>((S181*BZ181)/100)</f>
        <v>0</v>
      </c>
      <c r="CZ181" s="2">
        <f>((S181*CA181)/100)</f>
        <v>0</v>
      </c>
      <c r="DA181" s="2"/>
      <c r="DB181" s="2"/>
      <c r="DC181" s="2" t="s">
        <v>6</v>
      </c>
      <c r="DD181" s="2" t="s">
        <v>6</v>
      </c>
      <c r="DE181" s="2" t="s">
        <v>6</v>
      </c>
      <c r="DF181" s="2" t="s">
        <v>6</v>
      </c>
      <c r="DG181" s="2" t="s">
        <v>6</v>
      </c>
      <c r="DH181" s="2" t="s">
        <v>6</v>
      </c>
      <c r="DI181" s="2" t="s">
        <v>6</v>
      </c>
      <c r="DJ181" s="2" t="s">
        <v>6</v>
      </c>
      <c r="DK181" s="2" t="s">
        <v>6</v>
      </c>
      <c r="DL181" s="2" t="s">
        <v>6</v>
      </c>
      <c r="DM181" s="2" t="s">
        <v>6</v>
      </c>
      <c r="DN181" s="2">
        <v>0</v>
      </c>
      <c r="DO181" s="2">
        <v>0</v>
      </c>
      <c r="DP181" s="2">
        <v>1</v>
      </c>
      <c r="DQ181" s="2">
        <v>1</v>
      </c>
      <c r="DR181" s="2"/>
      <c r="DS181" s="2"/>
      <c r="DT181" s="2"/>
      <c r="DU181" s="2">
        <v>1009</v>
      </c>
      <c r="DV181" s="2" t="s">
        <v>226</v>
      </c>
      <c r="DW181" s="2" t="s">
        <v>226</v>
      </c>
      <c r="DX181" s="2">
        <v>1000</v>
      </c>
      <c r="DY181" s="2"/>
      <c r="DZ181" s="2" t="s">
        <v>6</v>
      </c>
      <c r="EA181" s="2" t="s">
        <v>6</v>
      </c>
      <c r="EB181" s="2" t="s">
        <v>6</v>
      </c>
      <c r="EC181" s="2" t="s">
        <v>6</v>
      </c>
      <c r="ED181" s="2"/>
      <c r="EE181" s="2">
        <v>69252783</v>
      </c>
      <c r="EF181" s="2">
        <v>30</v>
      </c>
      <c r="EG181" s="2" t="s">
        <v>29</v>
      </c>
      <c r="EH181" s="2">
        <v>0</v>
      </c>
      <c r="EI181" s="2" t="s">
        <v>6</v>
      </c>
      <c r="EJ181" s="2">
        <v>1</v>
      </c>
      <c r="EK181" s="2">
        <v>158</v>
      </c>
      <c r="EL181" s="2" t="s">
        <v>221</v>
      </c>
      <c r="EM181" s="2" t="s">
        <v>222</v>
      </c>
      <c r="EN181" s="2"/>
      <c r="EO181" s="2" t="s">
        <v>6</v>
      </c>
      <c r="EP181" s="2"/>
      <c r="EQ181" s="2">
        <v>0</v>
      </c>
      <c r="ER181" s="2">
        <v>305.75</v>
      </c>
      <c r="ES181" s="2">
        <v>305.75</v>
      </c>
      <c r="ET181" s="2">
        <v>0</v>
      </c>
      <c r="EU181" s="2">
        <v>0</v>
      </c>
      <c r="EV181" s="2">
        <v>0</v>
      </c>
      <c r="EW181" s="2">
        <v>0</v>
      </c>
      <c r="EX181" s="2">
        <v>0</v>
      </c>
      <c r="EY181" s="2"/>
      <c r="EZ181" s="2"/>
      <c r="FA181" s="2"/>
      <c r="FB181" s="2"/>
      <c r="FC181" s="2"/>
      <c r="FD181" s="2"/>
      <c r="FE181" s="2"/>
      <c r="FF181" s="2"/>
      <c r="FG181" s="2"/>
      <c r="FH181" s="2"/>
      <c r="FI181" s="2"/>
      <c r="FJ181" s="2"/>
      <c r="FK181" s="2"/>
      <c r="FL181" s="2"/>
      <c r="FM181" s="2"/>
      <c r="FN181" s="2"/>
      <c r="FO181" s="2"/>
      <c r="FP181" s="2"/>
      <c r="FQ181" s="2">
        <v>0</v>
      </c>
      <c r="FR181" s="2">
        <f t="shared" si="230"/>
        <v>0</v>
      </c>
      <c r="FS181" s="2">
        <v>0</v>
      </c>
      <c r="FT181" s="2"/>
      <c r="FU181" s="2"/>
      <c r="FV181" s="2"/>
      <c r="FW181" s="2"/>
      <c r="FX181" s="2">
        <v>161</v>
      </c>
      <c r="FY181" s="2">
        <v>107</v>
      </c>
      <c r="FZ181" s="2"/>
      <c r="GA181" s="2" t="s">
        <v>6</v>
      </c>
      <c r="GB181" s="2"/>
      <c r="GC181" s="2"/>
      <c r="GD181" s="2">
        <v>0</v>
      </c>
      <c r="GE181" s="2"/>
      <c r="GF181" s="2">
        <v>739525636</v>
      </c>
      <c r="GG181" s="2">
        <v>2</v>
      </c>
      <c r="GH181" s="2">
        <v>1</v>
      </c>
      <c r="GI181" s="2">
        <v>-2</v>
      </c>
      <c r="GJ181" s="2">
        <v>0</v>
      </c>
      <c r="GK181" s="2">
        <f>ROUND(R181*(R12)/100,2)</f>
        <v>0</v>
      </c>
      <c r="GL181" s="2">
        <f t="shared" si="231"/>
        <v>0</v>
      </c>
      <c r="GM181" s="2">
        <f t="shared" si="232"/>
        <v>44358.06</v>
      </c>
      <c r="GN181" s="2">
        <f t="shared" si="233"/>
        <v>44358.06</v>
      </c>
      <c r="GO181" s="2">
        <f t="shared" si="234"/>
        <v>0</v>
      </c>
      <c r="GP181" s="2">
        <f t="shared" si="235"/>
        <v>0</v>
      </c>
      <c r="GQ181" s="2"/>
      <c r="GR181" s="2">
        <v>0</v>
      </c>
      <c r="GS181" s="2">
        <v>3</v>
      </c>
      <c r="GT181" s="2">
        <v>0</v>
      </c>
      <c r="GU181" s="2" t="s">
        <v>6</v>
      </c>
      <c r="GV181" s="2">
        <f t="shared" si="236"/>
        <v>0</v>
      </c>
      <c r="GW181" s="2">
        <v>1</v>
      </c>
      <c r="GX181" s="2">
        <f t="shared" si="237"/>
        <v>0</v>
      </c>
      <c r="GY181" s="2"/>
      <c r="GZ181" s="2"/>
      <c r="HA181" s="2">
        <v>0</v>
      </c>
      <c r="HB181" s="2">
        <v>0</v>
      </c>
      <c r="HC181" s="2">
        <f t="shared" si="238"/>
        <v>0</v>
      </c>
      <c r="HD181" s="2"/>
      <c r="HE181" s="2" t="s">
        <v>6</v>
      </c>
      <c r="HF181" s="2" t="s">
        <v>6</v>
      </c>
      <c r="HG181" s="2"/>
      <c r="HH181" s="2"/>
      <c r="HI181" s="2"/>
      <c r="HJ181" s="2"/>
      <c r="HK181" s="2"/>
      <c r="HL181" s="2"/>
      <c r="HM181" s="2" t="s">
        <v>6</v>
      </c>
      <c r="HN181" s="2" t="s">
        <v>6</v>
      </c>
      <c r="HO181" s="2" t="s">
        <v>6</v>
      </c>
      <c r="HP181" s="2" t="s">
        <v>6</v>
      </c>
      <c r="HQ181" s="2" t="s">
        <v>6</v>
      </c>
      <c r="HR181" s="2"/>
      <c r="HS181" s="2"/>
      <c r="HT181" s="2"/>
      <c r="HU181" s="2"/>
      <c r="HV181" s="2"/>
      <c r="HW181" s="2"/>
      <c r="HX181" s="2"/>
      <c r="HY181" s="2"/>
      <c r="HZ181" s="2"/>
      <c r="IA181" s="2"/>
      <c r="IB181" s="2"/>
      <c r="IC181" s="2"/>
      <c r="ID181" s="2"/>
      <c r="IE181" s="2"/>
      <c r="IF181" s="2"/>
      <c r="IG181" s="2"/>
      <c r="IH181" s="2"/>
      <c r="II181" s="2"/>
      <c r="IJ181" s="2"/>
      <c r="IK181" s="2">
        <v>0</v>
      </c>
      <c r="IL181" s="2"/>
      <c r="IM181" s="2"/>
      <c r="IN181" s="2"/>
      <c r="IO181" s="2"/>
      <c r="IP181" s="2"/>
      <c r="IQ181" s="2"/>
      <c r="IR181" s="2"/>
      <c r="IS181" s="2"/>
      <c r="IT181" s="2"/>
      <c r="IU181" s="2"/>
    </row>
    <row r="182" spans="1:255">
      <c r="A182">
        <v>18</v>
      </c>
      <c r="B182">
        <v>1</v>
      </c>
      <c r="E182" t="s">
        <v>223</v>
      </c>
      <c r="F182" t="s">
        <v>224</v>
      </c>
      <c r="G182" t="s">
        <v>225</v>
      </c>
      <c r="H182" t="s">
        <v>226</v>
      </c>
      <c r="I182">
        <f>I180*J182</f>
        <v>145.07952</v>
      </c>
      <c r="J182">
        <v>9.58</v>
      </c>
      <c r="K182">
        <v>9.58</v>
      </c>
      <c r="O182">
        <f t="shared" si="203"/>
        <v>638756.06000000006</v>
      </c>
      <c r="P182">
        <f t="shared" si="204"/>
        <v>638756.06000000006</v>
      </c>
      <c r="Q182">
        <f t="shared" si="205"/>
        <v>0</v>
      </c>
      <c r="R182">
        <f t="shared" si="206"/>
        <v>0</v>
      </c>
      <c r="S182">
        <f t="shared" si="207"/>
        <v>0</v>
      </c>
      <c r="T182">
        <f t="shared" si="208"/>
        <v>0</v>
      </c>
      <c r="U182">
        <f t="shared" si="209"/>
        <v>0</v>
      </c>
      <c r="V182">
        <f t="shared" si="210"/>
        <v>0</v>
      </c>
      <c r="W182">
        <f t="shared" si="211"/>
        <v>0</v>
      </c>
      <c r="X182">
        <f t="shared" si="212"/>
        <v>0</v>
      </c>
      <c r="Y182">
        <f t="shared" si="213"/>
        <v>0</v>
      </c>
      <c r="AA182">
        <v>70322059</v>
      </c>
      <c r="AB182">
        <f t="shared" si="214"/>
        <v>305.75</v>
      </c>
      <c r="AC182">
        <f t="shared" si="215"/>
        <v>305.75</v>
      </c>
      <c r="AD182">
        <f t="shared" si="216"/>
        <v>0</v>
      </c>
      <c r="AE182">
        <f t="shared" si="217"/>
        <v>0</v>
      </c>
      <c r="AF182">
        <f t="shared" si="217"/>
        <v>0</v>
      </c>
      <c r="AG182">
        <f t="shared" si="218"/>
        <v>0</v>
      </c>
      <c r="AH182">
        <f t="shared" si="219"/>
        <v>0</v>
      </c>
      <c r="AI182">
        <f t="shared" si="219"/>
        <v>0</v>
      </c>
      <c r="AJ182">
        <f t="shared" si="220"/>
        <v>0</v>
      </c>
      <c r="AK182">
        <v>305.75</v>
      </c>
      <c r="AL182">
        <v>305.75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1.0469999999999999</v>
      </c>
      <c r="AW182">
        <v>1</v>
      </c>
      <c r="AZ182">
        <v>1</v>
      </c>
      <c r="BA182">
        <v>1</v>
      </c>
      <c r="BB182">
        <v>1</v>
      </c>
      <c r="BC182">
        <v>14.4</v>
      </c>
      <c r="BD182" t="s">
        <v>6</v>
      </c>
      <c r="BE182" t="s">
        <v>6</v>
      </c>
      <c r="BF182" t="s">
        <v>6</v>
      </c>
      <c r="BG182" t="s">
        <v>6</v>
      </c>
      <c r="BH182">
        <v>3</v>
      </c>
      <c r="BI182">
        <v>1</v>
      </c>
      <c r="BJ182" t="s">
        <v>227</v>
      </c>
      <c r="BM182">
        <v>158</v>
      </c>
      <c r="BN182">
        <v>0</v>
      </c>
      <c r="BO182" t="s">
        <v>224</v>
      </c>
      <c r="BP182">
        <v>1</v>
      </c>
      <c r="BQ182">
        <v>30</v>
      </c>
      <c r="BR182">
        <v>0</v>
      </c>
      <c r="BS182">
        <v>1</v>
      </c>
      <c r="BT182">
        <v>1</v>
      </c>
      <c r="BU182">
        <v>1</v>
      </c>
      <c r="BV182">
        <v>1</v>
      </c>
      <c r="BW182">
        <v>1</v>
      </c>
      <c r="BX182">
        <v>1</v>
      </c>
      <c r="BY182" t="s">
        <v>6</v>
      </c>
      <c r="BZ182">
        <v>0</v>
      </c>
      <c r="CA182">
        <v>0</v>
      </c>
      <c r="CB182" t="s">
        <v>6</v>
      </c>
      <c r="CE182">
        <v>30</v>
      </c>
      <c r="CF182">
        <v>0</v>
      </c>
      <c r="CG182">
        <v>0</v>
      </c>
      <c r="CM182">
        <v>0</v>
      </c>
      <c r="CN182" t="s">
        <v>6</v>
      </c>
      <c r="CO182">
        <v>0</v>
      </c>
      <c r="CP182">
        <f t="shared" si="221"/>
        <v>638756.06000000006</v>
      </c>
      <c r="CQ182">
        <f t="shared" si="222"/>
        <v>4402.8</v>
      </c>
      <c r="CR182">
        <f t="shared" si="223"/>
        <v>0</v>
      </c>
      <c r="CS182">
        <f t="shared" si="224"/>
        <v>0</v>
      </c>
      <c r="CT182">
        <f t="shared" si="225"/>
        <v>0</v>
      </c>
      <c r="CU182">
        <f t="shared" si="226"/>
        <v>0</v>
      </c>
      <c r="CV182">
        <f t="shared" si="227"/>
        <v>0</v>
      </c>
      <c r="CW182">
        <f t="shared" si="228"/>
        <v>0</v>
      </c>
      <c r="CX182">
        <f t="shared" si="229"/>
        <v>0</v>
      </c>
      <c r="CY182">
        <f>S182*(BZ182/100)</f>
        <v>0</v>
      </c>
      <c r="CZ182">
        <f>S182*(CA182/100)</f>
        <v>0</v>
      </c>
      <c r="DC182" t="s">
        <v>6</v>
      </c>
      <c r="DD182" t="s">
        <v>6</v>
      </c>
      <c r="DE182" t="s">
        <v>6</v>
      </c>
      <c r="DF182" t="s">
        <v>6</v>
      </c>
      <c r="DG182" t="s">
        <v>6</v>
      </c>
      <c r="DH182" t="s">
        <v>6</v>
      </c>
      <c r="DI182" t="s">
        <v>6</v>
      </c>
      <c r="DJ182" t="s">
        <v>6</v>
      </c>
      <c r="DK182" t="s">
        <v>6</v>
      </c>
      <c r="DL182" t="s">
        <v>6</v>
      </c>
      <c r="DM182" t="s">
        <v>6</v>
      </c>
      <c r="DN182">
        <v>161</v>
      </c>
      <c r="DO182">
        <v>107</v>
      </c>
      <c r="DP182">
        <v>1.0469999999999999</v>
      </c>
      <c r="DQ182">
        <v>1</v>
      </c>
      <c r="DU182">
        <v>1009</v>
      </c>
      <c r="DV182" t="s">
        <v>226</v>
      </c>
      <c r="DW182" t="s">
        <v>226</v>
      </c>
      <c r="DX182">
        <v>1000</v>
      </c>
      <c r="DZ182" t="s">
        <v>6</v>
      </c>
      <c r="EA182" t="s">
        <v>6</v>
      </c>
      <c r="EB182" t="s">
        <v>6</v>
      </c>
      <c r="EC182" t="s">
        <v>6</v>
      </c>
      <c r="EE182">
        <v>69252783</v>
      </c>
      <c r="EF182">
        <v>30</v>
      </c>
      <c r="EG182" t="s">
        <v>29</v>
      </c>
      <c r="EH182">
        <v>0</v>
      </c>
      <c r="EI182" t="s">
        <v>6</v>
      </c>
      <c r="EJ182">
        <v>1</v>
      </c>
      <c r="EK182">
        <v>158</v>
      </c>
      <c r="EL182" t="s">
        <v>221</v>
      </c>
      <c r="EM182" t="s">
        <v>222</v>
      </c>
      <c r="EO182" t="s">
        <v>6</v>
      </c>
      <c r="EQ182">
        <v>0</v>
      </c>
      <c r="ER182">
        <v>305.75</v>
      </c>
      <c r="ES182">
        <v>305.75</v>
      </c>
      <c r="ET182">
        <v>0</v>
      </c>
      <c r="EU182">
        <v>0</v>
      </c>
      <c r="EV182">
        <v>0</v>
      </c>
      <c r="EW182">
        <v>0</v>
      </c>
      <c r="EX182">
        <v>0</v>
      </c>
      <c r="FQ182">
        <v>0</v>
      </c>
      <c r="FR182">
        <f t="shared" si="230"/>
        <v>0</v>
      </c>
      <c r="FS182">
        <v>0</v>
      </c>
      <c r="FX182">
        <v>161</v>
      </c>
      <c r="FY182">
        <v>107</v>
      </c>
      <c r="GA182" t="s">
        <v>6</v>
      </c>
      <c r="GD182">
        <v>0</v>
      </c>
      <c r="GF182">
        <v>739525636</v>
      </c>
      <c r="GG182">
        <v>2</v>
      </c>
      <c r="GH182">
        <v>1</v>
      </c>
      <c r="GI182">
        <v>2</v>
      </c>
      <c r="GJ182">
        <v>0</v>
      </c>
      <c r="GK182">
        <f>ROUND(R182*(S12)/100,2)</f>
        <v>0</v>
      </c>
      <c r="GL182">
        <f t="shared" si="231"/>
        <v>0</v>
      </c>
      <c r="GM182">
        <f t="shared" si="232"/>
        <v>638756.06000000006</v>
      </c>
      <c r="GN182">
        <f t="shared" si="233"/>
        <v>638756.06000000006</v>
      </c>
      <c r="GO182">
        <f t="shared" si="234"/>
        <v>0</v>
      </c>
      <c r="GP182">
        <f t="shared" si="235"/>
        <v>0</v>
      </c>
      <c r="GR182">
        <v>0</v>
      </c>
      <c r="GS182">
        <v>0</v>
      </c>
      <c r="GT182">
        <v>0</v>
      </c>
      <c r="GU182" t="s">
        <v>6</v>
      </c>
      <c r="GV182">
        <f t="shared" si="236"/>
        <v>0</v>
      </c>
      <c r="GW182">
        <v>1</v>
      </c>
      <c r="GX182">
        <f t="shared" si="237"/>
        <v>0</v>
      </c>
      <c r="HA182">
        <v>0</v>
      </c>
      <c r="HB182">
        <v>0</v>
      </c>
      <c r="HC182">
        <f t="shared" si="238"/>
        <v>0</v>
      </c>
      <c r="HE182" t="s">
        <v>6</v>
      </c>
      <c r="HF182" t="s">
        <v>6</v>
      </c>
      <c r="HM182" t="s">
        <v>6</v>
      </c>
      <c r="HN182" t="s">
        <v>6</v>
      </c>
      <c r="HO182" t="s">
        <v>6</v>
      </c>
      <c r="HP182" t="s">
        <v>6</v>
      </c>
      <c r="HQ182" t="s">
        <v>6</v>
      </c>
      <c r="IK182">
        <v>0</v>
      </c>
    </row>
    <row r="183" spans="1:255">
      <c r="A183" s="2">
        <v>17</v>
      </c>
      <c r="B183" s="2">
        <v>1</v>
      </c>
      <c r="C183" s="2"/>
      <c r="D183" s="2"/>
      <c r="E183" s="2" t="s">
        <v>228</v>
      </c>
      <c r="F183" s="2" t="s">
        <v>229</v>
      </c>
      <c r="G183" s="2" t="s">
        <v>230</v>
      </c>
      <c r="H183" s="2" t="s">
        <v>219</v>
      </c>
      <c r="I183" s="2">
        <f>ROUND(I179,9)</f>
        <v>15.144</v>
      </c>
      <c r="J183" s="2">
        <v>0</v>
      </c>
      <c r="K183" s="2">
        <f>ROUND(I179,9)</f>
        <v>15.144</v>
      </c>
      <c r="L183" s="2"/>
      <c r="M183" s="2"/>
      <c r="N183" s="2"/>
      <c r="O183" s="2">
        <f t="shared" si="203"/>
        <v>1261.17</v>
      </c>
      <c r="P183" s="2">
        <f t="shared" si="204"/>
        <v>0</v>
      </c>
      <c r="Q183" s="2">
        <f>(ROUND((ROUND((((ET183*2))*AV183*I183),2)*BB183),2)+ROUND((ROUND(((AE183-((EU183*2)))*AV183*I183),2)*BS183),2))</f>
        <v>1041.4100000000001</v>
      </c>
      <c r="R183" s="2">
        <f t="shared" si="206"/>
        <v>69.13</v>
      </c>
      <c r="S183" s="2">
        <f t="shared" si="207"/>
        <v>219.76</v>
      </c>
      <c r="T183" s="2">
        <f t="shared" si="208"/>
        <v>0</v>
      </c>
      <c r="U183" s="2">
        <f t="shared" si="209"/>
        <v>16.807114080000002</v>
      </c>
      <c r="V183" s="2">
        <f t="shared" si="210"/>
        <v>0</v>
      </c>
      <c r="W183" s="2">
        <f t="shared" si="211"/>
        <v>0</v>
      </c>
      <c r="X183" s="2">
        <f t="shared" si="212"/>
        <v>353.81</v>
      </c>
      <c r="Y183" s="2">
        <f t="shared" si="213"/>
        <v>235.14</v>
      </c>
      <c r="Z183" s="2"/>
      <c r="AA183" s="2">
        <v>70322058</v>
      </c>
      <c r="AB183" s="2">
        <f t="shared" si="214"/>
        <v>79.540000000000006</v>
      </c>
      <c r="AC183" s="2">
        <f>ROUND(((ES183*2)),6)</f>
        <v>0</v>
      </c>
      <c r="AD183" s="2">
        <f>ROUND(((((ET183*2))-((EU183*2)))+AE183),6)</f>
        <v>65.680000000000007</v>
      </c>
      <c r="AE183" s="2">
        <f>ROUND(((EU183*2)),6)</f>
        <v>4.3600000000000003</v>
      </c>
      <c r="AF183" s="2">
        <f>ROUND(((EV183*2)),6)</f>
        <v>13.86</v>
      </c>
      <c r="AG183" s="2">
        <f t="shared" si="218"/>
        <v>0</v>
      </c>
      <c r="AH183" s="2">
        <f>((EW183*2))</f>
        <v>1.06</v>
      </c>
      <c r="AI183" s="2">
        <f>((EX183*2))</f>
        <v>0</v>
      </c>
      <c r="AJ183" s="2">
        <f t="shared" si="220"/>
        <v>0</v>
      </c>
      <c r="AK183" s="2">
        <v>39.770000000000003</v>
      </c>
      <c r="AL183" s="2">
        <v>0</v>
      </c>
      <c r="AM183" s="2">
        <v>32.840000000000003</v>
      </c>
      <c r="AN183" s="2">
        <v>2.1800000000000002</v>
      </c>
      <c r="AO183" s="2">
        <v>6.93</v>
      </c>
      <c r="AP183" s="2">
        <v>0</v>
      </c>
      <c r="AQ183" s="2">
        <v>0.53</v>
      </c>
      <c r="AR183" s="2">
        <v>0</v>
      </c>
      <c r="AS183" s="2">
        <v>0</v>
      </c>
      <c r="AT183" s="2">
        <v>161</v>
      </c>
      <c r="AU183" s="2">
        <v>107</v>
      </c>
      <c r="AV183" s="2">
        <v>1.0469999999999999</v>
      </c>
      <c r="AW183" s="2">
        <v>1</v>
      </c>
      <c r="AX183" s="2"/>
      <c r="AY183" s="2"/>
      <c r="AZ183" s="2">
        <v>1</v>
      </c>
      <c r="BA183" s="2">
        <v>1</v>
      </c>
      <c r="BB183" s="2">
        <v>1</v>
      </c>
      <c r="BC183" s="2">
        <v>1</v>
      </c>
      <c r="BD183" s="2" t="s">
        <v>6</v>
      </c>
      <c r="BE183" s="2" t="s">
        <v>6</v>
      </c>
      <c r="BF183" s="2" t="s">
        <v>6</v>
      </c>
      <c r="BG183" s="2" t="s">
        <v>6</v>
      </c>
      <c r="BH183" s="2">
        <v>0</v>
      </c>
      <c r="BI183" s="2">
        <v>1</v>
      </c>
      <c r="BJ183" s="2" t="s">
        <v>231</v>
      </c>
      <c r="BK183" s="2"/>
      <c r="BL183" s="2"/>
      <c r="BM183" s="2">
        <v>158</v>
      </c>
      <c r="BN183" s="2">
        <v>0</v>
      </c>
      <c r="BO183" s="2" t="s">
        <v>6</v>
      </c>
      <c r="BP183" s="2">
        <v>0</v>
      </c>
      <c r="BQ183" s="2">
        <v>30</v>
      </c>
      <c r="BR183" s="2">
        <v>0</v>
      </c>
      <c r="BS183" s="2">
        <v>1</v>
      </c>
      <c r="BT183" s="2">
        <v>1</v>
      </c>
      <c r="BU183" s="2">
        <v>1</v>
      </c>
      <c r="BV183" s="2">
        <v>1</v>
      </c>
      <c r="BW183" s="2">
        <v>1</v>
      </c>
      <c r="BX183" s="2">
        <v>1</v>
      </c>
      <c r="BY183" s="2" t="s">
        <v>6</v>
      </c>
      <c r="BZ183" s="2">
        <v>161</v>
      </c>
      <c r="CA183" s="2">
        <v>107</v>
      </c>
      <c r="CB183" s="2" t="s">
        <v>6</v>
      </c>
      <c r="CC183" s="2"/>
      <c r="CD183" s="2"/>
      <c r="CE183" s="2">
        <v>30</v>
      </c>
      <c r="CF183" s="2">
        <v>0</v>
      </c>
      <c r="CG183" s="2">
        <v>0</v>
      </c>
      <c r="CH183" s="2"/>
      <c r="CI183" s="2"/>
      <c r="CJ183" s="2"/>
      <c r="CK183" s="2"/>
      <c r="CL183" s="2"/>
      <c r="CM183" s="2">
        <v>0</v>
      </c>
      <c r="CN183" s="2" t="s">
        <v>6</v>
      </c>
      <c r="CO183" s="2">
        <v>0</v>
      </c>
      <c r="CP183" s="2">
        <f t="shared" si="221"/>
        <v>1261.17</v>
      </c>
      <c r="CQ183" s="2">
        <f t="shared" si="222"/>
        <v>0</v>
      </c>
      <c r="CR183" s="2">
        <f>(ROUND((ROUND((((ET183*2))*AV183*1),2)*BB183),2)+ROUND((ROUND(((AE183-((EU183*2)))*AV183*1),2)*BS183),2))</f>
        <v>68.77</v>
      </c>
      <c r="CS183" s="2">
        <f t="shared" si="224"/>
        <v>4.5599999999999996</v>
      </c>
      <c r="CT183" s="2">
        <f t="shared" si="225"/>
        <v>14.51</v>
      </c>
      <c r="CU183" s="2">
        <f t="shared" si="226"/>
        <v>0</v>
      </c>
      <c r="CV183" s="2">
        <f t="shared" si="227"/>
        <v>1.10982</v>
      </c>
      <c r="CW183" s="2">
        <f t="shared" si="228"/>
        <v>0</v>
      </c>
      <c r="CX183" s="2">
        <f t="shared" si="229"/>
        <v>0</v>
      </c>
      <c r="CY183" s="2">
        <f>((S183*BZ183)/100)</f>
        <v>353.81360000000001</v>
      </c>
      <c r="CZ183" s="2">
        <f>((S183*CA183)/100)</f>
        <v>235.14320000000001</v>
      </c>
      <c r="DA183" s="2"/>
      <c r="DB183" s="2"/>
      <c r="DC183" s="2" t="s">
        <v>6</v>
      </c>
      <c r="DD183" s="2" t="s">
        <v>232</v>
      </c>
      <c r="DE183" s="2" t="s">
        <v>232</v>
      </c>
      <c r="DF183" s="2" t="s">
        <v>232</v>
      </c>
      <c r="DG183" s="2" t="s">
        <v>232</v>
      </c>
      <c r="DH183" s="2" t="s">
        <v>6</v>
      </c>
      <c r="DI183" s="2" t="s">
        <v>232</v>
      </c>
      <c r="DJ183" s="2" t="s">
        <v>232</v>
      </c>
      <c r="DK183" s="2" t="s">
        <v>6</v>
      </c>
      <c r="DL183" s="2" t="s">
        <v>6</v>
      </c>
      <c r="DM183" s="2" t="s">
        <v>6</v>
      </c>
      <c r="DN183" s="2">
        <v>0</v>
      </c>
      <c r="DO183" s="2">
        <v>0</v>
      </c>
      <c r="DP183" s="2">
        <v>1</v>
      </c>
      <c r="DQ183" s="2">
        <v>1</v>
      </c>
      <c r="DR183" s="2"/>
      <c r="DS183" s="2"/>
      <c r="DT183" s="2"/>
      <c r="DU183" s="2">
        <v>1013</v>
      </c>
      <c r="DV183" s="2" t="s">
        <v>219</v>
      </c>
      <c r="DW183" s="2" t="s">
        <v>219</v>
      </c>
      <c r="DX183" s="2">
        <v>1</v>
      </c>
      <c r="DY183" s="2"/>
      <c r="DZ183" s="2" t="s">
        <v>6</v>
      </c>
      <c r="EA183" s="2" t="s">
        <v>6</v>
      </c>
      <c r="EB183" s="2" t="s">
        <v>6</v>
      </c>
      <c r="EC183" s="2" t="s">
        <v>6</v>
      </c>
      <c r="ED183" s="2"/>
      <c r="EE183" s="2">
        <v>69252783</v>
      </c>
      <c r="EF183" s="2">
        <v>30</v>
      </c>
      <c r="EG183" s="2" t="s">
        <v>29</v>
      </c>
      <c r="EH183" s="2">
        <v>0</v>
      </c>
      <c r="EI183" s="2" t="s">
        <v>6</v>
      </c>
      <c r="EJ183" s="2">
        <v>1</v>
      </c>
      <c r="EK183" s="2">
        <v>158</v>
      </c>
      <c r="EL183" s="2" t="s">
        <v>221</v>
      </c>
      <c r="EM183" s="2" t="s">
        <v>222</v>
      </c>
      <c r="EN183" s="2"/>
      <c r="EO183" s="2" t="s">
        <v>6</v>
      </c>
      <c r="EP183" s="2"/>
      <c r="EQ183" s="2">
        <v>0</v>
      </c>
      <c r="ER183" s="2">
        <v>39.770000000000003</v>
      </c>
      <c r="ES183" s="2">
        <v>0</v>
      </c>
      <c r="ET183" s="2">
        <v>32.840000000000003</v>
      </c>
      <c r="EU183" s="2">
        <v>2.1800000000000002</v>
      </c>
      <c r="EV183" s="2">
        <v>6.93</v>
      </c>
      <c r="EW183" s="2">
        <v>0.53</v>
      </c>
      <c r="EX183" s="2">
        <v>0</v>
      </c>
      <c r="EY183" s="2">
        <v>0</v>
      </c>
      <c r="EZ183" s="2"/>
      <c r="FA183" s="2"/>
      <c r="FB183" s="2"/>
      <c r="FC183" s="2"/>
      <c r="FD183" s="2"/>
      <c r="FE183" s="2"/>
      <c r="FF183" s="2"/>
      <c r="FG183" s="2"/>
      <c r="FH183" s="2"/>
      <c r="FI183" s="2"/>
      <c r="FJ183" s="2"/>
      <c r="FK183" s="2"/>
      <c r="FL183" s="2"/>
      <c r="FM183" s="2"/>
      <c r="FN183" s="2"/>
      <c r="FO183" s="2"/>
      <c r="FP183" s="2"/>
      <c r="FQ183" s="2">
        <v>0</v>
      </c>
      <c r="FR183" s="2">
        <f t="shared" si="230"/>
        <v>0</v>
      </c>
      <c r="FS183" s="2">
        <v>0</v>
      </c>
      <c r="FT183" s="2"/>
      <c r="FU183" s="2"/>
      <c r="FV183" s="2"/>
      <c r="FW183" s="2"/>
      <c r="FX183" s="2">
        <v>161</v>
      </c>
      <c r="FY183" s="2">
        <v>107</v>
      </c>
      <c r="FZ183" s="2"/>
      <c r="GA183" s="2" t="s">
        <v>6</v>
      </c>
      <c r="GB183" s="2"/>
      <c r="GC183" s="2"/>
      <c r="GD183" s="2">
        <v>0</v>
      </c>
      <c r="GE183" s="2"/>
      <c r="GF183" s="2">
        <v>1683699876</v>
      </c>
      <c r="GG183" s="2">
        <v>2</v>
      </c>
      <c r="GH183" s="2">
        <v>1</v>
      </c>
      <c r="GI183" s="2">
        <v>-2</v>
      </c>
      <c r="GJ183" s="2">
        <v>0</v>
      </c>
      <c r="GK183" s="2">
        <f>ROUND(R183*(R12)/100,2)</f>
        <v>120.98</v>
      </c>
      <c r="GL183" s="2">
        <f t="shared" si="231"/>
        <v>0</v>
      </c>
      <c r="GM183" s="2">
        <f t="shared" si="232"/>
        <v>1971.1</v>
      </c>
      <c r="GN183" s="2">
        <f t="shared" si="233"/>
        <v>1971.1</v>
      </c>
      <c r="GO183" s="2">
        <f t="shared" si="234"/>
        <v>0</v>
      </c>
      <c r="GP183" s="2">
        <f t="shared" si="235"/>
        <v>0</v>
      </c>
      <c r="GQ183" s="2"/>
      <c r="GR183" s="2">
        <v>0</v>
      </c>
      <c r="GS183" s="2">
        <v>3</v>
      </c>
      <c r="GT183" s="2">
        <v>0</v>
      </c>
      <c r="GU183" s="2" t="s">
        <v>232</v>
      </c>
      <c r="GV183" s="2">
        <f>ROUND(((GT183*2)),6)</f>
        <v>0</v>
      </c>
      <c r="GW183" s="2">
        <v>1</v>
      </c>
      <c r="GX183" s="2">
        <f t="shared" si="237"/>
        <v>0</v>
      </c>
      <c r="GY183" s="2"/>
      <c r="GZ183" s="2"/>
      <c r="HA183" s="2">
        <v>0</v>
      </c>
      <c r="HB183" s="2">
        <v>0</v>
      </c>
      <c r="HC183" s="2">
        <f t="shared" si="238"/>
        <v>0</v>
      </c>
      <c r="HD183" s="2"/>
      <c r="HE183" s="2" t="s">
        <v>6</v>
      </c>
      <c r="HF183" s="2" t="s">
        <v>6</v>
      </c>
      <c r="HG183" s="2"/>
      <c r="HH183" s="2"/>
      <c r="HI183" s="2"/>
      <c r="HJ183" s="2"/>
      <c r="HK183" s="2"/>
      <c r="HL183" s="2"/>
      <c r="HM183" s="2" t="s">
        <v>6</v>
      </c>
      <c r="HN183" s="2" t="s">
        <v>6</v>
      </c>
      <c r="HO183" s="2" t="s">
        <v>6</v>
      </c>
      <c r="HP183" s="2" t="s">
        <v>6</v>
      </c>
      <c r="HQ183" s="2" t="s">
        <v>6</v>
      </c>
      <c r="HR183" s="2"/>
      <c r="HS183" s="2"/>
      <c r="HT183" s="2"/>
      <c r="HU183" s="2"/>
      <c r="HV183" s="2"/>
      <c r="HW183" s="2"/>
      <c r="HX183" s="2"/>
      <c r="HY183" s="2"/>
      <c r="HZ183" s="2"/>
      <c r="IA183" s="2"/>
      <c r="IB183" s="2"/>
      <c r="IC183" s="2"/>
      <c r="ID183" s="2"/>
      <c r="IE183" s="2"/>
      <c r="IF183" s="2"/>
      <c r="IG183" s="2"/>
      <c r="IH183" s="2"/>
      <c r="II183" s="2"/>
      <c r="IJ183" s="2"/>
      <c r="IK183" s="2">
        <v>0</v>
      </c>
      <c r="IL183" s="2"/>
      <c r="IM183" s="2"/>
      <c r="IN183" s="2"/>
      <c r="IO183" s="2"/>
      <c r="IP183" s="2"/>
      <c r="IQ183" s="2"/>
      <c r="IR183" s="2"/>
      <c r="IS183" s="2"/>
      <c r="IT183" s="2"/>
      <c r="IU183" s="2"/>
    </row>
    <row r="184" spans="1:255">
      <c r="A184">
        <v>17</v>
      </c>
      <c r="B184">
        <v>1</v>
      </c>
      <c r="E184" t="s">
        <v>228</v>
      </c>
      <c r="F184" t="s">
        <v>229</v>
      </c>
      <c r="G184" t="s">
        <v>230</v>
      </c>
      <c r="H184" t="s">
        <v>219</v>
      </c>
      <c r="I184">
        <f>ROUND(I180,9)</f>
        <v>15.144</v>
      </c>
      <c r="J184">
        <v>0</v>
      </c>
      <c r="K184">
        <f>ROUND(I180,9)</f>
        <v>15.144</v>
      </c>
      <c r="O184">
        <f t="shared" si="203"/>
        <v>23836.19</v>
      </c>
      <c r="P184">
        <f t="shared" si="204"/>
        <v>0</v>
      </c>
      <c r="Q184">
        <f>(ROUND((ROUND((((ET184*2))*AV184*I184),2)*BB184),2)+ROUND((ROUND(((AE184-((EU184*2)))*AV184*I184),2)*BS184),2))</f>
        <v>13579.99</v>
      </c>
      <c r="R184">
        <f t="shared" si="206"/>
        <v>3226.3</v>
      </c>
      <c r="S184">
        <f t="shared" si="207"/>
        <v>10256.200000000001</v>
      </c>
      <c r="T184">
        <f t="shared" si="208"/>
        <v>0</v>
      </c>
      <c r="U184">
        <f t="shared" si="209"/>
        <v>16.807114080000002</v>
      </c>
      <c r="V184">
        <f t="shared" si="210"/>
        <v>0</v>
      </c>
      <c r="W184">
        <f t="shared" si="211"/>
        <v>0</v>
      </c>
      <c r="X184">
        <f t="shared" si="212"/>
        <v>13743.31</v>
      </c>
      <c r="Y184">
        <f t="shared" si="213"/>
        <v>5640.91</v>
      </c>
      <c r="AA184">
        <v>70322059</v>
      </c>
      <c r="AB184">
        <f t="shared" si="214"/>
        <v>79.540000000000006</v>
      </c>
      <c r="AC184">
        <f>ROUND(((ES184*2)),6)</f>
        <v>0</v>
      </c>
      <c r="AD184">
        <f>ROUND(((((ET184*2))-((EU184*2)))+AE184),6)</f>
        <v>65.680000000000007</v>
      </c>
      <c r="AE184">
        <f>ROUND(((EU184*2)),6)</f>
        <v>4.3600000000000003</v>
      </c>
      <c r="AF184">
        <f>ROUND(((EV184*2)),6)</f>
        <v>13.86</v>
      </c>
      <c r="AG184">
        <f t="shared" si="218"/>
        <v>0</v>
      </c>
      <c r="AH184">
        <f>((EW184*2))</f>
        <v>1.06</v>
      </c>
      <c r="AI184">
        <f>((EX184*2))</f>
        <v>0</v>
      </c>
      <c r="AJ184">
        <f t="shared" si="220"/>
        <v>0</v>
      </c>
      <c r="AK184">
        <v>39.770000000000003</v>
      </c>
      <c r="AL184">
        <v>0</v>
      </c>
      <c r="AM184">
        <v>32.840000000000003</v>
      </c>
      <c r="AN184">
        <v>2.1800000000000002</v>
      </c>
      <c r="AO184">
        <v>6.93</v>
      </c>
      <c r="AP184">
        <v>0</v>
      </c>
      <c r="AQ184">
        <v>0.53</v>
      </c>
      <c r="AR184">
        <v>0</v>
      </c>
      <c r="AS184">
        <v>0</v>
      </c>
      <c r="AT184">
        <v>134</v>
      </c>
      <c r="AU184">
        <v>55</v>
      </c>
      <c r="AV184">
        <v>1.0469999999999999</v>
      </c>
      <c r="AW184">
        <v>1</v>
      </c>
      <c r="AZ184">
        <v>1</v>
      </c>
      <c r="BA184">
        <v>46.67</v>
      </c>
      <c r="BB184">
        <v>13.04</v>
      </c>
      <c r="BC184">
        <v>1</v>
      </c>
      <c r="BD184" t="s">
        <v>6</v>
      </c>
      <c r="BE184" t="s">
        <v>6</v>
      </c>
      <c r="BF184" t="s">
        <v>6</v>
      </c>
      <c r="BG184" t="s">
        <v>6</v>
      </c>
      <c r="BH184">
        <v>0</v>
      </c>
      <c r="BI184">
        <v>1</v>
      </c>
      <c r="BJ184" t="s">
        <v>231</v>
      </c>
      <c r="BM184">
        <v>158</v>
      </c>
      <c r="BN184">
        <v>0</v>
      </c>
      <c r="BO184" t="s">
        <v>229</v>
      </c>
      <c r="BP184">
        <v>1</v>
      </c>
      <c r="BQ184">
        <v>30</v>
      </c>
      <c r="BR184">
        <v>0</v>
      </c>
      <c r="BS184">
        <v>46.67</v>
      </c>
      <c r="BT184">
        <v>1</v>
      </c>
      <c r="BU184">
        <v>1</v>
      </c>
      <c r="BV184">
        <v>1</v>
      </c>
      <c r="BW184">
        <v>1</v>
      </c>
      <c r="BX184">
        <v>1</v>
      </c>
      <c r="BY184" t="s">
        <v>6</v>
      </c>
      <c r="BZ184">
        <v>134</v>
      </c>
      <c r="CA184">
        <v>55</v>
      </c>
      <c r="CB184" t="s">
        <v>6</v>
      </c>
      <c r="CE184">
        <v>30</v>
      </c>
      <c r="CF184">
        <v>0</v>
      </c>
      <c r="CG184">
        <v>0</v>
      </c>
      <c r="CM184">
        <v>0</v>
      </c>
      <c r="CN184" t="s">
        <v>6</v>
      </c>
      <c r="CO184">
        <v>0</v>
      </c>
      <c r="CP184">
        <f t="shared" si="221"/>
        <v>23836.190000000002</v>
      </c>
      <c r="CQ184">
        <f t="shared" si="222"/>
        <v>0</v>
      </c>
      <c r="CR184">
        <f>(ROUND((ROUND((((ET184*2))*AV184*1),2)*BB184),2)+ROUND((ROUND(((AE184-((EU184*2)))*AV184*1),2)*BS184),2))</f>
        <v>896.76</v>
      </c>
      <c r="CS184">
        <f t="shared" si="224"/>
        <v>212.82</v>
      </c>
      <c r="CT184">
        <f t="shared" si="225"/>
        <v>677.18</v>
      </c>
      <c r="CU184">
        <f t="shared" si="226"/>
        <v>0</v>
      </c>
      <c r="CV184">
        <f t="shared" si="227"/>
        <v>1.10982</v>
      </c>
      <c r="CW184">
        <f t="shared" si="228"/>
        <v>0</v>
      </c>
      <c r="CX184">
        <f t="shared" si="229"/>
        <v>0</v>
      </c>
      <c r="CY184">
        <f>S184*(BZ184/100)</f>
        <v>13743.308000000001</v>
      </c>
      <c r="CZ184">
        <f>S184*(CA184/100)</f>
        <v>5640.9100000000008</v>
      </c>
      <c r="DC184" t="s">
        <v>6</v>
      </c>
      <c r="DD184" t="s">
        <v>232</v>
      </c>
      <c r="DE184" t="s">
        <v>232</v>
      </c>
      <c r="DF184" t="s">
        <v>232</v>
      </c>
      <c r="DG184" t="s">
        <v>232</v>
      </c>
      <c r="DH184" t="s">
        <v>6</v>
      </c>
      <c r="DI184" t="s">
        <v>232</v>
      </c>
      <c r="DJ184" t="s">
        <v>232</v>
      </c>
      <c r="DK184" t="s">
        <v>6</v>
      </c>
      <c r="DL184" t="s">
        <v>6</v>
      </c>
      <c r="DM184" t="s">
        <v>6</v>
      </c>
      <c r="DN184">
        <v>161</v>
      </c>
      <c r="DO184">
        <v>107</v>
      </c>
      <c r="DP184">
        <v>1.0469999999999999</v>
      </c>
      <c r="DQ184">
        <v>1</v>
      </c>
      <c r="DU184">
        <v>1013</v>
      </c>
      <c r="DV184" t="s">
        <v>219</v>
      </c>
      <c r="DW184" t="s">
        <v>219</v>
      </c>
      <c r="DX184">
        <v>1</v>
      </c>
      <c r="DZ184" t="s">
        <v>6</v>
      </c>
      <c r="EA184" t="s">
        <v>6</v>
      </c>
      <c r="EB184" t="s">
        <v>6</v>
      </c>
      <c r="EC184" t="s">
        <v>6</v>
      </c>
      <c r="EE184">
        <v>69252783</v>
      </c>
      <c r="EF184">
        <v>30</v>
      </c>
      <c r="EG184" t="s">
        <v>29</v>
      </c>
      <c r="EH184">
        <v>0</v>
      </c>
      <c r="EI184" t="s">
        <v>6</v>
      </c>
      <c r="EJ184">
        <v>1</v>
      </c>
      <c r="EK184">
        <v>158</v>
      </c>
      <c r="EL184" t="s">
        <v>221</v>
      </c>
      <c r="EM184" t="s">
        <v>222</v>
      </c>
      <c r="EO184" t="s">
        <v>6</v>
      </c>
      <c r="EQ184">
        <v>0</v>
      </c>
      <c r="ER184">
        <v>39.770000000000003</v>
      </c>
      <c r="ES184">
        <v>0</v>
      </c>
      <c r="ET184">
        <v>32.840000000000003</v>
      </c>
      <c r="EU184">
        <v>2.1800000000000002</v>
      </c>
      <c r="EV184">
        <v>6.93</v>
      </c>
      <c r="EW184">
        <v>0.53</v>
      </c>
      <c r="EX184">
        <v>0</v>
      </c>
      <c r="EY184">
        <v>0</v>
      </c>
      <c r="FQ184">
        <v>0</v>
      </c>
      <c r="FR184">
        <f t="shared" si="230"/>
        <v>0</v>
      </c>
      <c r="FS184">
        <v>0</v>
      </c>
      <c r="FX184">
        <v>161</v>
      </c>
      <c r="FY184">
        <v>107</v>
      </c>
      <c r="GA184" t="s">
        <v>6</v>
      </c>
      <c r="GD184">
        <v>0</v>
      </c>
      <c r="GF184">
        <v>1683699876</v>
      </c>
      <c r="GG184">
        <v>2</v>
      </c>
      <c r="GH184">
        <v>1</v>
      </c>
      <c r="GI184">
        <v>2</v>
      </c>
      <c r="GJ184">
        <v>0</v>
      </c>
      <c r="GK184">
        <f>ROUND(R184*(S12)/100,2)</f>
        <v>5162.08</v>
      </c>
      <c r="GL184">
        <f t="shared" si="231"/>
        <v>0</v>
      </c>
      <c r="GM184">
        <f t="shared" si="232"/>
        <v>48382.49</v>
      </c>
      <c r="GN184">
        <f t="shared" si="233"/>
        <v>48382.49</v>
      </c>
      <c r="GO184">
        <f t="shared" si="234"/>
        <v>0</v>
      </c>
      <c r="GP184">
        <f t="shared" si="235"/>
        <v>0</v>
      </c>
      <c r="GR184">
        <v>0</v>
      </c>
      <c r="GS184">
        <v>0</v>
      </c>
      <c r="GT184">
        <v>0</v>
      </c>
      <c r="GU184" t="s">
        <v>232</v>
      </c>
      <c r="GV184">
        <f>ROUND(((GT184*2)),6)</f>
        <v>0</v>
      </c>
      <c r="GW184">
        <v>1</v>
      </c>
      <c r="GX184">
        <f t="shared" si="237"/>
        <v>0</v>
      </c>
      <c r="HA184">
        <v>0</v>
      </c>
      <c r="HB184">
        <v>0</v>
      </c>
      <c r="HC184">
        <f t="shared" si="238"/>
        <v>0</v>
      </c>
      <c r="HE184" t="s">
        <v>6</v>
      </c>
      <c r="HF184" t="s">
        <v>6</v>
      </c>
      <c r="HM184" t="s">
        <v>6</v>
      </c>
      <c r="HN184" t="s">
        <v>6</v>
      </c>
      <c r="HO184" t="s">
        <v>6</v>
      </c>
      <c r="HP184" t="s">
        <v>6</v>
      </c>
      <c r="HQ184" t="s">
        <v>6</v>
      </c>
      <c r="IK184">
        <v>0</v>
      </c>
    </row>
    <row r="185" spans="1:255">
      <c r="A185" s="2">
        <v>18</v>
      </c>
      <c r="B185" s="2">
        <v>1</v>
      </c>
      <c r="C185" s="2"/>
      <c r="D185" s="2"/>
      <c r="E185" s="2" t="s">
        <v>233</v>
      </c>
      <c r="F185" s="2" t="s">
        <v>234</v>
      </c>
      <c r="G185" s="2" t="s">
        <v>235</v>
      </c>
      <c r="H185" s="2" t="s">
        <v>226</v>
      </c>
      <c r="I185" s="2">
        <f>I183*J185</f>
        <v>72.691199999999995</v>
      </c>
      <c r="J185" s="2">
        <v>4.8</v>
      </c>
      <c r="K185" s="2">
        <v>2.4</v>
      </c>
      <c r="L185" s="2"/>
      <c r="M185" s="2"/>
      <c r="N185" s="2"/>
      <c r="O185" s="2">
        <f t="shared" si="203"/>
        <v>21624.18</v>
      </c>
      <c r="P185" s="2">
        <f t="shared" si="204"/>
        <v>21624.18</v>
      </c>
      <c r="Q185" s="2">
        <f t="shared" ref="Q185:Q194" si="239">(ROUND((ROUND(((ET185)*AV185*I185),2)*BB185),2)+ROUND((ROUND(((AE185-(EU185))*AV185*I185),2)*BS185),2))</f>
        <v>0</v>
      </c>
      <c r="R185" s="2">
        <f t="shared" si="206"/>
        <v>0</v>
      </c>
      <c r="S185" s="2">
        <f t="shared" si="207"/>
        <v>0</v>
      </c>
      <c r="T185" s="2">
        <f t="shared" si="208"/>
        <v>0</v>
      </c>
      <c r="U185" s="2">
        <f t="shared" si="209"/>
        <v>0</v>
      </c>
      <c r="V185" s="2">
        <f t="shared" si="210"/>
        <v>0</v>
      </c>
      <c r="W185" s="2">
        <f t="shared" si="211"/>
        <v>0</v>
      </c>
      <c r="X185" s="2">
        <f t="shared" si="212"/>
        <v>0</v>
      </c>
      <c r="Y185" s="2">
        <f t="shared" si="213"/>
        <v>0</v>
      </c>
      <c r="Z185" s="2"/>
      <c r="AA185" s="2">
        <v>70322058</v>
      </c>
      <c r="AB185" s="2">
        <f t="shared" si="214"/>
        <v>297.48</v>
      </c>
      <c r="AC185" s="2">
        <f t="shared" ref="AC185:AC194" si="240">ROUND((ES185),6)</f>
        <v>297.48</v>
      </c>
      <c r="AD185" s="2">
        <f t="shared" ref="AD185:AD194" si="241">ROUND((((ET185)-(EU185))+AE185),6)</f>
        <v>0</v>
      </c>
      <c r="AE185" s="2">
        <f t="shared" ref="AE185:AE194" si="242">ROUND((EU185),6)</f>
        <v>0</v>
      </c>
      <c r="AF185" s="2">
        <f t="shared" ref="AF185:AF194" si="243">ROUND((EV185),6)</f>
        <v>0</v>
      </c>
      <c r="AG185" s="2">
        <f t="shared" si="218"/>
        <v>0</v>
      </c>
      <c r="AH185" s="2">
        <f t="shared" ref="AH185:AH194" si="244">(EW185)</f>
        <v>0</v>
      </c>
      <c r="AI185" s="2">
        <f t="shared" ref="AI185:AI194" si="245">(EX185)</f>
        <v>0</v>
      </c>
      <c r="AJ185" s="2">
        <f t="shared" si="220"/>
        <v>0</v>
      </c>
      <c r="AK185" s="2">
        <v>297.48</v>
      </c>
      <c r="AL185" s="2">
        <v>297.48</v>
      </c>
      <c r="AM185" s="2">
        <v>0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161</v>
      </c>
      <c r="AU185" s="2">
        <v>107</v>
      </c>
      <c r="AV185" s="2">
        <v>1.0469999999999999</v>
      </c>
      <c r="AW185" s="2">
        <v>1</v>
      </c>
      <c r="AX185" s="2"/>
      <c r="AY185" s="2"/>
      <c r="AZ185" s="2">
        <v>1</v>
      </c>
      <c r="BA185" s="2">
        <v>1</v>
      </c>
      <c r="BB185" s="2">
        <v>1</v>
      </c>
      <c r="BC185" s="2">
        <v>1</v>
      </c>
      <c r="BD185" s="2" t="s">
        <v>6</v>
      </c>
      <c r="BE185" s="2" t="s">
        <v>6</v>
      </c>
      <c r="BF185" s="2" t="s">
        <v>6</v>
      </c>
      <c r="BG185" s="2" t="s">
        <v>6</v>
      </c>
      <c r="BH185" s="2">
        <v>3</v>
      </c>
      <c r="BI185" s="2">
        <v>1</v>
      </c>
      <c r="BJ185" s="2" t="s">
        <v>236</v>
      </c>
      <c r="BK185" s="2"/>
      <c r="BL185" s="2"/>
      <c r="BM185" s="2">
        <v>158</v>
      </c>
      <c r="BN185" s="2">
        <v>0</v>
      </c>
      <c r="BO185" s="2" t="s">
        <v>6</v>
      </c>
      <c r="BP185" s="2">
        <v>0</v>
      </c>
      <c r="BQ185" s="2">
        <v>30</v>
      </c>
      <c r="BR185" s="2">
        <v>0</v>
      </c>
      <c r="BS185" s="2">
        <v>1</v>
      </c>
      <c r="BT185" s="2">
        <v>1</v>
      </c>
      <c r="BU185" s="2">
        <v>1</v>
      </c>
      <c r="BV185" s="2">
        <v>1</v>
      </c>
      <c r="BW185" s="2">
        <v>1</v>
      </c>
      <c r="BX185" s="2">
        <v>1</v>
      </c>
      <c r="BY185" s="2" t="s">
        <v>6</v>
      </c>
      <c r="BZ185" s="2">
        <v>161</v>
      </c>
      <c r="CA185" s="2">
        <v>107</v>
      </c>
      <c r="CB185" s="2" t="s">
        <v>6</v>
      </c>
      <c r="CC185" s="2"/>
      <c r="CD185" s="2"/>
      <c r="CE185" s="2">
        <v>30</v>
      </c>
      <c r="CF185" s="2">
        <v>0</v>
      </c>
      <c r="CG185" s="2">
        <v>0</v>
      </c>
      <c r="CH185" s="2"/>
      <c r="CI185" s="2"/>
      <c r="CJ185" s="2"/>
      <c r="CK185" s="2"/>
      <c r="CL185" s="2"/>
      <c r="CM185" s="2">
        <v>0</v>
      </c>
      <c r="CN185" s="2" t="s">
        <v>6</v>
      </c>
      <c r="CO185" s="2">
        <v>0</v>
      </c>
      <c r="CP185" s="2">
        <f t="shared" si="221"/>
        <v>21624.18</v>
      </c>
      <c r="CQ185" s="2">
        <f t="shared" si="222"/>
        <v>297.48</v>
      </c>
      <c r="CR185" s="2">
        <f t="shared" ref="CR185:CR194" si="246">(ROUND((ROUND(((ET185)*AV185*1),2)*BB185),2)+ROUND((ROUND(((AE185-(EU185))*AV185*1),2)*BS185),2))</f>
        <v>0</v>
      </c>
      <c r="CS185" s="2">
        <f t="shared" si="224"/>
        <v>0</v>
      </c>
      <c r="CT185" s="2">
        <f t="shared" si="225"/>
        <v>0</v>
      </c>
      <c r="CU185" s="2">
        <f t="shared" si="226"/>
        <v>0</v>
      </c>
      <c r="CV185" s="2">
        <f t="shared" si="227"/>
        <v>0</v>
      </c>
      <c r="CW185" s="2">
        <f t="shared" si="228"/>
        <v>0</v>
      </c>
      <c r="CX185" s="2">
        <f t="shared" si="229"/>
        <v>0</v>
      </c>
      <c r="CY185" s="2">
        <f>((S185*BZ185)/100)</f>
        <v>0</v>
      </c>
      <c r="CZ185" s="2">
        <f>((S185*CA185)/100)</f>
        <v>0</v>
      </c>
      <c r="DA185" s="2"/>
      <c r="DB185" s="2"/>
      <c r="DC185" s="2" t="s">
        <v>6</v>
      </c>
      <c r="DD185" s="2" t="s">
        <v>6</v>
      </c>
      <c r="DE185" s="2" t="s">
        <v>6</v>
      </c>
      <c r="DF185" s="2" t="s">
        <v>6</v>
      </c>
      <c r="DG185" s="2" t="s">
        <v>6</v>
      </c>
      <c r="DH185" s="2" t="s">
        <v>6</v>
      </c>
      <c r="DI185" s="2" t="s">
        <v>6</v>
      </c>
      <c r="DJ185" s="2" t="s">
        <v>6</v>
      </c>
      <c r="DK185" s="2" t="s">
        <v>6</v>
      </c>
      <c r="DL185" s="2" t="s">
        <v>6</v>
      </c>
      <c r="DM185" s="2" t="s">
        <v>6</v>
      </c>
      <c r="DN185" s="2">
        <v>0</v>
      </c>
      <c r="DO185" s="2">
        <v>0</v>
      </c>
      <c r="DP185" s="2">
        <v>1</v>
      </c>
      <c r="DQ185" s="2">
        <v>1</v>
      </c>
      <c r="DR185" s="2"/>
      <c r="DS185" s="2"/>
      <c r="DT185" s="2"/>
      <c r="DU185" s="2">
        <v>1009</v>
      </c>
      <c r="DV185" s="2" t="s">
        <v>226</v>
      </c>
      <c r="DW185" s="2" t="s">
        <v>226</v>
      </c>
      <c r="DX185" s="2">
        <v>1000</v>
      </c>
      <c r="DY185" s="2"/>
      <c r="DZ185" s="2" t="s">
        <v>6</v>
      </c>
      <c r="EA185" s="2" t="s">
        <v>6</v>
      </c>
      <c r="EB185" s="2" t="s">
        <v>6</v>
      </c>
      <c r="EC185" s="2" t="s">
        <v>6</v>
      </c>
      <c r="ED185" s="2"/>
      <c r="EE185" s="2">
        <v>69252783</v>
      </c>
      <c r="EF185" s="2">
        <v>30</v>
      </c>
      <c r="EG185" s="2" t="s">
        <v>29</v>
      </c>
      <c r="EH185" s="2">
        <v>0</v>
      </c>
      <c r="EI185" s="2" t="s">
        <v>6</v>
      </c>
      <c r="EJ185" s="2">
        <v>1</v>
      </c>
      <c r="EK185" s="2">
        <v>158</v>
      </c>
      <c r="EL185" s="2" t="s">
        <v>221</v>
      </c>
      <c r="EM185" s="2" t="s">
        <v>222</v>
      </c>
      <c r="EN185" s="2"/>
      <c r="EO185" s="2" t="s">
        <v>6</v>
      </c>
      <c r="EP185" s="2"/>
      <c r="EQ185" s="2">
        <v>0</v>
      </c>
      <c r="ER185" s="2">
        <v>297.48</v>
      </c>
      <c r="ES185" s="2">
        <v>297.48</v>
      </c>
      <c r="ET185" s="2">
        <v>0</v>
      </c>
      <c r="EU185" s="2">
        <v>0</v>
      </c>
      <c r="EV185" s="2">
        <v>0</v>
      </c>
      <c r="EW185" s="2">
        <v>0</v>
      </c>
      <c r="EX185" s="2">
        <v>0</v>
      </c>
      <c r="EY185" s="2"/>
      <c r="EZ185" s="2"/>
      <c r="FA185" s="2"/>
      <c r="FB185" s="2"/>
      <c r="FC185" s="2"/>
      <c r="FD185" s="2"/>
      <c r="FE185" s="2"/>
      <c r="FF185" s="2"/>
      <c r="FG185" s="2"/>
      <c r="FH185" s="2"/>
      <c r="FI185" s="2"/>
      <c r="FJ185" s="2"/>
      <c r="FK185" s="2"/>
      <c r="FL185" s="2"/>
      <c r="FM185" s="2"/>
      <c r="FN185" s="2"/>
      <c r="FO185" s="2"/>
      <c r="FP185" s="2"/>
      <c r="FQ185" s="2">
        <v>0</v>
      </c>
      <c r="FR185" s="2">
        <f t="shared" si="230"/>
        <v>0</v>
      </c>
      <c r="FS185" s="2">
        <v>0</v>
      </c>
      <c r="FT185" s="2"/>
      <c r="FU185" s="2"/>
      <c r="FV185" s="2"/>
      <c r="FW185" s="2"/>
      <c r="FX185" s="2">
        <v>161</v>
      </c>
      <c r="FY185" s="2">
        <v>107</v>
      </c>
      <c r="FZ185" s="2"/>
      <c r="GA185" s="2" t="s">
        <v>6</v>
      </c>
      <c r="GB185" s="2"/>
      <c r="GC185" s="2"/>
      <c r="GD185" s="2">
        <v>0</v>
      </c>
      <c r="GE185" s="2"/>
      <c r="GF185" s="2">
        <v>2134426652</v>
      </c>
      <c r="GG185" s="2">
        <v>2</v>
      </c>
      <c r="GH185" s="2">
        <v>1</v>
      </c>
      <c r="GI185" s="2">
        <v>-2</v>
      </c>
      <c r="GJ185" s="2">
        <v>0</v>
      </c>
      <c r="GK185" s="2">
        <f>ROUND(R185*(R12)/100,2)</f>
        <v>0</v>
      </c>
      <c r="GL185" s="2">
        <f t="shared" si="231"/>
        <v>0</v>
      </c>
      <c r="GM185" s="2">
        <f t="shared" si="232"/>
        <v>21624.18</v>
      </c>
      <c r="GN185" s="2">
        <f t="shared" si="233"/>
        <v>21624.18</v>
      </c>
      <c r="GO185" s="2">
        <f t="shared" si="234"/>
        <v>0</v>
      </c>
      <c r="GP185" s="2">
        <f t="shared" si="235"/>
        <v>0</v>
      </c>
      <c r="GQ185" s="2"/>
      <c r="GR185" s="2">
        <v>0</v>
      </c>
      <c r="GS185" s="2">
        <v>3</v>
      </c>
      <c r="GT185" s="2">
        <v>0</v>
      </c>
      <c r="GU185" s="2" t="s">
        <v>6</v>
      </c>
      <c r="GV185" s="2">
        <f t="shared" ref="GV185:GV194" si="247">ROUND((GT185),6)</f>
        <v>0</v>
      </c>
      <c r="GW185" s="2">
        <v>1</v>
      </c>
      <c r="GX185" s="2">
        <f t="shared" si="237"/>
        <v>0</v>
      </c>
      <c r="GY185" s="2"/>
      <c r="GZ185" s="2"/>
      <c r="HA185" s="2">
        <v>0</v>
      </c>
      <c r="HB185" s="2">
        <v>0</v>
      </c>
      <c r="HC185" s="2">
        <f t="shared" si="238"/>
        <v>0</v>
      </c>
      <c r="HD185" s="2"/>
      <c r="HE185" s="2" t="s">
        <v>6</v>
      </c>
      <c r="HF185" s="2" t="s">
        <v>6</v>
      </c>
      <c r="HG185" s="2"/>
      <c r="HH185" s="2"/>
      <c r="HI185" s="2"/>
      <c r="HJ185" s="2"/>
      <c r="HK185" s="2"/>
      <c r="HL185" s="2"/>
      <c r="HM185" s="2" t="s">
        <v>232</v>
      </c>
      <c r="HN185" s="2" t="s">
        <v>6</v>
      </c>
      <c r="HO185" s="2" t="s">
        <v>6</v>
      </c>
      <c r="HP185" s="2" t="s">
        <v>6</v>
      </c>
      <c r="HQ185" s="2" t="s">
        <v>6</v>
      </c>
      <c r="HR185" s="2"/>
      <c r="HS185" s="2"/>
      <c r="HT185" s="2"/>
      <c r="HU185" s="2"/>
      <c r="HV185" s="2"/>
      <c r="HW185" s="2"/>
      <c r="HX185" s="2"/>
      <c r="HY185" s="2"/>
      <c r="HZ185" s="2"/>
      <c r="IA185" s="2"/>
      <c r="IB185" s="2"/>
      <c r="IC185" s="2"/>
      <c r="ID185" s="2"/>
      <c r="IE185" s="2"/>
      <c r="IF185" s="2"/>
      <c r="IG185" s="2"/>
      <c r="IH185" s="2"/>
      <c r="II185" s="2"/>
      <c r="IJ185" s="2"/>
      <c r="IK185" s="2">
        <v>0</v>
      </c>
      <c r="IL185" s="2"/>
      <c r="IM185" s="2"/>
      <c r="IN185" s="2"/>
      <c r="IO185" s="2"/>
      <c r="IP185" s="2"/>
      <c r="IQ185" s="2"/>
      <c r="IR185" s="2"/>
      <c r="IS185" s="2"/>
      <c r="IT185" s="2"/>
      <c r="IU185" s="2"/>
    </row>
    <row r="186" spans="1:255">
      <c r="A186">
        <v>18</v>
      </c>
      <c r="B186">
        <v>1</v>
      </c>
      <c r="E186" t="s">
        <v>233</v>
      </c>
      <c r="F186" t="s">
        <v>234</v>
      </c>
      <c r="G186" t="s">
        <v>235</v>
      </c>
      <c r="H186" t="s">
        <v>226</v>
      </c>
      <c r="I186">
        <f>I184*J186</f>
        <v>72.691199999999995</v>
      </c>
      <c r="J186">
        <v>4.8</v>
      </c>
      <c r="K186">
        <v>2.4</v>
      </c>
      <c r="O186">
        <f t="shared" si="203"/>
        <v>320037.86</v>
      </c>
      <c r="P186">
        <f t="shared" si="204"/>
        <v>320037.86</v>
      </c>
      <c r="Q186">
        <f t="shared" si="239"/>
        <v>0</v>
      </c>
      <c r="R186">
        <f t="shared" si="206"/>
        <v>0</v>
      </c>
      <c r="S186">
        <f t="shared" si="207"/>
        <v>0</v>
      </c>
      <c r="T186">
        <f t="shared" si="208"/>
        <v>0</v>
      </c>
      <c r="U186">
        <f t="shared" si="209"/>
        <v>0</v>
      </c>
      <c r="V186">
        <f t="shared" si="210"/>
        <v>0</v>
      </c>
      <c r="W186">
        <f t="shared" si="211"/>
        <v>0</v>
      </c>
      <c r="X186">
        <f t="shared" si="212"/>
        <v>0</v>
      </c>
      <c r="Y186">
        <f t="shared" si="213"/>
        <v>0</v>
      </c>
      <c r="AA186">
        <v>70322059</v>
      </c>
      <c r="AB186">
        <f t="shared" si="214"/>
        <v>297.48</v>
      </c>
      <c r="AC186">
        <f t="shared" si="240"/>
        <v>297.48</v>
      </c>
      <c r="AD186">
        <f t="shared" si="241"/>
        <v>0</v>
      </c>
      <c r="AE186">
        <f t="shared" si="242"/>
        <v>0</v>
      </c>
      <c r="AF186">
        <f t="shared" si="243"/>
        <v>0</v>
      </c>
      <c r="AG186">
        <f t="shared" si="218"/>
        <v>0</v>
      </c>
      <c r="AH186">
        <f t="shared" si="244"/>
        <v>0</v>
      </c>
      <c r="AI186">
        <f t="shared" si="245"/>
        <v>0</v>
      </c>
      <c r="AJ186">
        <f t="shared" si="220"/>
        <v>0</v>
      </c>
      <c r="AK186">
        <v>297.48</v>
      </c>
      <c r="AL186">
        <v>297.48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1.0469999999999999</v>
      </c>
      <c r="AW186">
        <v>1</v>
      </c>
      <c r="AZ186">
        <v>1</v>
      </c>
      <c r="BA186">
        <v>1</v>
      </c>
      <c r="BB186">
        <v>1</v>
      </c>
      <c r="BC186">
        <v>14.8</v>
      </c>
      <c r="BD186" t="s">
        <v>6</v>
      </c>
      <c r="BE186" t="s">
        <v>6</v>
      </c>
      <c r="BF186" t="s">
        <v>6</v>
      </c>
      <c r="BG186" t="s">
        <v>6</v>
      </c>
      <c r="BH186">
        <v>3</v>
      </c>
      <c r="BI186">
        <v>1</v>
      </c>
      <c r="BJ186" t="s">
        <v>236</v>
      </c>
      <c r="BM186">
        <v>158</v>
      </c>
      <c r="BN186">
        <v>0</v>
      </c>
      <c r="BO186" t="s">
        <v>234</v>
      </c>
      <c r="BP186">
        <v>1</v>
      </c>
      <c r="BQ186">
        <v>30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6</v>
      </c>
      <c r="BZ186">
        <v>0</v>
      </c>
      <c r="CA186">
        <v>0</v>
      </c>
      <c r="CB186" t="s">
        <v>6</v>
      </c>
      <c r="CE186">
        <v>30</v>
      </c>
      <c r="CF186">
        <v>0</v>
      </c>
      <c r="CG186">
        <v>0</v>
      </c>
      <c r="CM186">
        <v>0</v>
      </c>
      <c r="CN186" t="s">
        <v>6</v>
      </c>
      <c r="CO186">
        <v>0</v>
      </c>
      <c r="CP186">
        <f t="shared" si="221"/>
        <v>320037.86</v>
      </c>
      <c r="CQ186">
        <f t="shared" si="222"/>
        <v>4402.7</v>
      </c>
      <c r="CR186">
        <f t="shared" si="246"/>
        <v>0</v>
      </c>
      <c r="CS186">
        <f t="shared" si="224"/>
        <v>0</v>
      </c>
      <c r="CT186">
        <f t="shared" si="225"/>
        <v>0</v>
      </c>
      <c r="CU186">
        <f t="shared" si="226"/>
        <v>0</v>
      </c>
      <c r="CV186">
        <f t="shared" si="227"/>
        <v>0</v>
      </c>
      <c r="CW186">
        <f t="shared" si="228"/>
        <v>0</v>
      </c>
      <c r="CX186">
        <f t="shared" si="229"/>
        <v>0</v>
      </c>
      <c r="CY186">
        <f>S186*(BZ186/100)</f>
        <v>0</v>
      </c>
      <c r="CZ186">
        <f>S186*(CA186/100)</f>
        <v>0</v>
      </c>
      <c r="DC186" t="s">
        <v>6</v>
      </c>
      <c r="DD186" t="s">
        <v>6</v>
      </c>
      <c r="DE186" t="s">
        <v>6</v>
      </c>
      <c r="DF186" t="s">
        <v>6</v>
      </c>
      <c r="DG186" t="s">
        <v>6</v>
      </c>
      <c r="DH186" t="s">
        <v>6</v>
      </c>
      <c r="DI186" t="s">
        <v>6</v>
      </c>
      <c r="DJ186" t="s">
        <v>6</v>
      </c>
      <c r="DK186" t="s">
        <v>6</v>
      </c>
      <c r="DL186" t="s">
        <v>6</v>
      </c>
      <c r="DM186" t="s">
        <v>6</v>
      </c>
      <c r="DN186">
        <v>161</v>
      </c>
      <c r="DO186">
        <v>107</v>
      </c>
      <c r="DP186">
        <v>1.0469999999999999</v>
      </c>
      <c r="DQ186">
        <v>1</v>
      </c>
      <c r="DU186">
        <v>1009</v>
      </c>
      <c r="DV186" t="s">
        <v>226</v>
      </c>
      <c r="DW186" t="s">
        <v>226</v>
      </c>
      <c r="DX186">
        <v>1000</v>
      </c>
      <c r="DZ186" t="s">
        <v>6</v>
      </c>
      <c r="EA186" t="s">
        <v>6</v>
      </c>
      <c r="EB186" t="s">
        <v>6</v>
      </c>
      <c r="EC186" t="s">
        <v>6</v>
      </c>
      <c r="EE186">
        <v>69252783</v>
      </c>
      <c r="EF186">
        <v>30</v>
      </c>
      <c r="EG186" t="s">
        <v>29</v>
      </c>
      <c r="EH186">
        <v>0</v>
      </c>
      <c r="EI186" t="s">
        <v>6</v>
      </c>
      <c r="EJ186">
        <v>1</v>
      </c>
      <c r="EK186">
        <v>158</v>
      </c>
      <c r="EL186" t="s">
        <v>221</v>
      </c>
      <c r="EM186" t="s">
        <v>222</v>
      </c>
      <c r="EO186" t="s">
        <v>6</v>
      </c>
      <c r="EQ186">
        <v>0</v>
      </c>
      <c r="ER186">
        <v>297.48</v>
      </c>
      <c r="ES186">
        <v>297.48</v>
      </c>
      <c r="ET186">
        <v>0</v>
      </c>
      <c r="EU186">
        <v>0</v>
      </c>
      <c r="EV186">
        <v>0</v>
      </c>
      <c r="EW186">
        <v>0</v>
      </c>
      <c r="EX186">
        <v>0</v>
      </c>
      <c r="FQ186">
        <v>0</v>
      </c>
      <c r="FR186">
        <f t="shared" si="230"/>
        <v>0</v>
      </c>
      <c r="FS186">
        <v>0</v>
      </c>
      <c r="FX186">
        <v>161</v>
      </c>
      <c r="FY186">
        <v>107</v>
      </c>
      <c r="GA186" t="s">
        <v>6</v>
      </c>
      <c r="GD186">
        <v>0</v>
      </c>
      <c r="GF186">
        <v>2134426652</v>
      </c>
      <c r="GG186">
        <v>2</v>
      </c>
      <c r="GH186">
        <v>1</v>
      </c>
      <c r="GI186">
        <v>2</v>
      </c>
      <c r="GJ186">
        <v>0</v>
      </c>
      <c r="GK186">
        <f>ROUND(R186*(S12)/100,2)</f>
        <v>0</v>
      </c>
      <c r="GL186">
        <f t="shared" si="231"/>
        <v>0</v>
      </c>
      <c r="GM186">
        <f t="shared" si="232"/>
        <v>320037.86</v>
      </c>
      <c r="GN186">
        <f t="shared" si="233"/>
        <v>320037.86</v>
      </c>
      <c r="GO186">
        <f t="shared" si="234"/>
        <v>0</v>
      </c>
      <c r="GP186">
        <f t="shared" si="235"/>
        <v>0</v>
      </c>
      <c r="GR186">
        <v>0</v>
      </c>
      <c r="GS186">
        <v>0</v>
      </c>
      <c r="GT186">
        <v>0</v>
      </c>
      <c r="GU186" t="s">
        <v>6</v>
      </c>
      <c r="GV186">
        <f t="shared" si="247"/>
        <v>0</v>
      </c>
      <c r="GW186">
        <v>1</v>
      </c>
      <c r="GX186">
        <f t="shared" si="237"/>
        <v>0</v>
      </c>
      <c r="HA186">
        <v>0</v>
      </c>
      <c r="HB186">
        <v>0</v>
      </c>
      <c r="HC186">
        <f t="shared" si="238"/>
        <v>0</v>
      </c>
      <c r="HE186" t="s">
        <v>6</v>
      </c>
      <c r="HF186" t="s">
        <v>6</v>
      </c>
      <c r="HM186" t="s">
        <v>232</v>
      </c>
      <c r="HN186" t="s">
        <v>6</v>
      </c>
      <c r="HO186" t="s">
        <v>6</v>
      </c>
      <c r="HP186" t="s">
        <v>6</v>
      </c>
      <c r="HQ186" t="s">
        <v>6</v>
      </c>
      <c r="IK186">
        <v>0</v>
      </c>
    </row>
    <row r="187" spans="1:255">
      <c r="A187" s="2">
        <v>17</v>
      </c>
      <c r="B187" s="2">
        <v>1</v>
      </c>
      <c r="C187" s="2"/>
      <c r="D187" s="2"/>
      <c r="E187" s="2" t="s">
        <v>237</v>
      </c>
      <c r="F187" s="2" t="s">
        <v>217</v>
      </c>
      <c r="G187" s="2" t="s">
        <v>218</v>
      </c>
      <c r="H187" s="2" t="s">
        <v>219</v>
      </c>
      <c r="I187" s="2">
        <f>ROUND((1514.4)/100,9)</f>
        <v>15.144</v>
      </c>
      <c r="J187" s="2">
        <v>0</v>
      </c>
      <c r="K187" s="2">
        <f>ROUND((1514.4)/100,9)</f>
        <v>15.144</v>
      </c>
      <c r="L187" s="2"/>
      <c r="M187" s="2"/>
      <c r="N187" s="2"/>
      <c r="O187" s="2">
        <f t="shared" si="203"/>
        <v>10143.799999999999</v>
      </c>
      <c r="P187" s="2">
        <f t="shared" si="204"/>
        <v>875.78</v>
      </c>
      <c r="Q187" s="2">
        <f t="shared" si="239"/>
        <v>8440.82</v>
      </c>
      <c r="R187" s="2">
        <f t="shared" si="206"/>
        <v>738.56</v>
      </c>
      <c r="S187" s="2">
        <f t="shared" si="207"/>
        <v>827.2</v>
      </c>
      <c r="T187" s="2">
        <f t="shared" si="208"/>
        <v>0</v>
      </c>
      <c r="U187" s="2">
        <f t="shared" si="209"/>
        <v>68.021244719999999</v>
      </c>
      <c r="V187" s="2">
        <f t="shared" si="210"/>
        <v>0</v>
      </c>
      <c r="W187" s="2">
        <f t="shared" si="211"/>
        <v>0</v>
      </c>
      <c r="X187" s="2">
        <f t="shared" si="212"/>
        <v>1331.79</v>
      </c>
      <c r="Y187" s="2">
        <f t="shared" si="213"/>
        <v>885.1</v>
      </c>
      <c r="Z187" s="2"/>
      <c r="AA187" s="2">
        <v>70322058</v>
      </c>
      <c r="AB187" s="2">
        <f t="shared" si="214"/>
        <v>642.35</v>
      </c>
      <c r="AC187" s="2">
        <f t="shared" si="240"/>
        <v>57.83</v>
      </c>
      <c r="AD187" s="2">
        <f t="shared" si="241"/>
        <v>532.35</v>
      </c>
      <c r="AE187" s="2">
        <f t="shared" si="242"/>
        <v>46.58</v>
      </c>
      <c r="AF187" s="2">
        <f t="shared" si="243"/>
        <v>52.17</v>
      </c>
      <c r="AG187" s="2">
        <f t="shared" si="218"/>
        <v>0</v>
      </c>
      <c r="AH187" s="2">
        <f t="shared" si="244"/>
        <v>4.29</v>
      </c>
      <c r="AI187" s="2">
        <f t="shared" si="245"/>
        <v>0</v>
      </c>
      <c r="AJ187" s="2">
        <f t="shared" si="220"/>
        <v>0</v>
      </c>
      <c r="AK187" s="2">
        <v>642.35</v>
      </c>
      <c r="AL187" s="2">
        <v>57.83</v>
      </c>
      <c r="AM187" s="2">
        <v>532.35</v>
      </c>
      <c r="AN187" s="2">
        <v>46.58</v>
      </c>
      <c r="AO187" s="2">
        <v>52.17</v>
      </c>
      <c r="AP187" s="2">
        <v>0</v>
      </c>
      <c r="AQ187" s="2">
        <v>4.29</v>
      </c>
      <c r="AR187" s="2">
        <v>0</v>
      </c>
      <c r="AS187" s="2">
        <v>0</v>
      </c>
      <c r="AT187" s="2">
        <v>161</v>
      </c>
      <c r="AU187" s="2">
        <v>107</v>
      </c>
      <c r="AV187" s="2">
        <v>1.0469999999999999</v>
      </c>
      <c r="AW187" s="2">
        <v>1</v>
      </c>
      <c r="AX187" s="2"/>
      <c r="AY187" s="2"/>
      <c r="AZ187" s="2">
        <v>1</v>
      </c>
      <c r="BA187" s="2">
        <v>1</v>
      </c>
      <c r="BB187" s="2">
        <v>1</v>
      </c>
      <c r="BC187" s="2">
        <v>1</v>
      </c>
      <c r="BD187" s="2" t="s">
        <v>6</v>
      </c>
      <c r="BE187" s="2" t="s">
        <v>6</v>
      </c>
      <c r="BF187" s="2" t="s">
        <v>6</v>
      </c>
      <c r="BG187" s="2" t="s">
        <v>6</v>
      </c>
      <c r="BH187" s="2">
        <v>0</v>
      </c>
      <c r="BI187" s="2">
        <v>1</v>
      </c>
      <c r="BJ187" s="2" t="s">
        <v>220</v>
      </c>
      <c r="BK187" s="2"/>
      <c r="BL187" s="2"/>
      <c r="BM187" s="2">
        <v>158</v>
      </c>
      <c r="BN187" s="2">
        <v>0</v>
      </c>
      <c r="BO187" s="2" t="s">
        <v>6</v>
      </c>
      <c r="BP187" s="2">
        <v>0</v>
      </c>
      <c r="BQ187" s="2">
        <v>30</v>
      </c>
      <c r="BR187" s="2">
        <v>0</v>
      </c>
      <c r="BS187" s="2">
        <v>1</v>
      </c>
      <c r="BT187" s="2">
        <v>1</v>
      </c>
      <c r="BU187" s="2">
        <v>1</v>
      </c>
      <c r="BV187" s="2">
        <v>1</v>
      </c>
      <c r="BW187" s="2">
        <v>1</v>
      </c>
      <c r="BX187" s="2">
        <v>1</v>
      </c>
      <c r="BY187" s="2" t="s">
        <v>6</v>
      </c>
      <c r="BZ187" s="2">
        <v>161</v>
      </c>
      <c r="CA187" s="2">
        <v>107</v>
      </c>
      <c r="CB187" s="2" t="s">
        <v>6</v>
      </c>
      <c r="CC187" s="2"/>
      <c r="CD187" s="2"/>
      <c r="CE187" s="2">
        <v>30</v>
      </c>
      <c r="CF187" s="2">
        <v>0</v>
      </c>
      <c r="CG187" s="2">
        <v>0</v>
      </c>
      <c r="CH187" s="2"/>
      <c r="CI187" s="2"/>
      <c r="CJ187" s="2"/>
      <c r="CK187" s="2"/>
      <c r="CL187" s="2"/>
      <c r="CM187" s="2">
        <v>0</v>
      </c>
      <c r="CN187" s="2" t="s">
        <v>6</v>
      </c>
      <c r="CO187" s="2">
        <v>0</v>
      </c>
      <c r="CP187" s="2">
        <f t="shared" si="221"/>
        <v>10143.800000000001</v>
      </c>
      <c r="CQ187" s="2">
        <f t="shared" si="222"/>
        <v>57.83</v>
      </c>
      <c r="CR187" s="2">
        <f t="shared" si="246"/>
        <v>557.37</v>
      </c>
      <c r="CS187" s="2">
        <f t="shared" si="224"/>
        <v>48.77</v>
      </c>
      <c r="CT187" s="2">
        <f t="shared" si="225"/>
        <v>54.62</v>
      </c>
      <c r="CU187" s="2">
        <f t="shared" si="226"/>
        <v>0</v>
      </c>
      <c r="CV187" s="2">
        <f t="shared" si="227"/>
        <v>4.4916299999999998</v>
      </c>
      <c r="CW187" s="2">
        <f t="shared" si="228"/>
        <v>0</v>
      </c>
      <c r="CX187" s="2">
        <f t="shared" si="229"/>
        <v>0</v>
      </c>
      <c r="CY187" s="2">
        <f>((S187*BZ187)/100)</f>
        <v>1331.7920000000001</v>
      </c>
      <c r="CZ187" s="2">
        <f>((S187*CA187)/100)</f>
        <v>885.10400000000004</v>
      </c>
      <c r="DA187" s="2"/>
      <c r="DB187" s="2"/>
      <c r="DC187" s="2" t="s">
        <v>6</v>
      </c>
      <c r="DD187" s="2" t="s">
        <v>6</v>
      </c>
      <c r="DE187" s="2" t="s">
        <v>6</v>
      </c>
      <c r="DF187" s="2" t="s">
        <v>6</v>
      </c>
      <c r="DG187" s="2" t="s">
        <v>6</v>
      </c>
      <c r="DH187" s="2" t="s">
        <v>6</v>
      </c>
      <c r="DI187" s="2" t="s">
        <v>6</v>
      </c>
      <c r="DJ187" s="2" t="s">
        <v>6</v>
      </c>
      <c r="DK187" s="2" t="s">
        <v>6</v>
      </c>
      <c r="DL187" s="2" t="s">
        <v>6</v>
      </c>
      <c r="DM187" s="2" t="s">
        <v>6</v>
      </c>
      <c r="DN187" s="2">
        <v>0</v>
      </c>
      <c r="DO187" s="2">
        <v>0</v>
      </c>
      <c r="DP187" s="2">
        <v>1</v>
      </c>
      <c r="DQ187" s="2">
        <v>1</v>
      </c>
      <c r="DR187" s="2"/>
      <c r="DS187" s="2"/>
      <c r="DT187" s="2"/>
      <c r="DU187" s="2">
        <v>1013</v>
      </c>
      <c r="DV187" s="2" t="s">
        <v>219</v>
      </c>
      <c r="DW187" s="2" t="s">
        <v>219</v>
      </c>
      <c r="DX187" s="2">
        <v>1</v>
      </c>
      <c r="DY187" s="2"/>
      <c r="DZ187" s="2" t="s">
        <v>6</v>
      </c>
      <c r="EA187" s="2" t="s">
        <v>6</v>
      </c>
      <c r="EB187" s="2" t="s">
        <v>6</v>
      </c>
      <c r="EC187" s="2" t="s">
        <v>6</v>
      </c>
      <c r="ED187" s="2"/>
      <c r="EE187" s="2">
        <v>69252783</v>
      </c>
      <c r="EF187" s="2">
        <v>30</v>
      </c>
      <c r="EG187" s="2" t="s">
        <v>29</v>
      </c>
      <c r="EH187" s="2">
        <v>0</v>
      </c>
      <c r="EI187" s="2" t="s">
        <v>6</v>
      </c>
      <c r="EJ187" s="2">
        <v>1</v>
      </c>
      <c r="EK187" s="2">
        <v>158</v>
      </c>
      <c r="EL187" s="2" t="s">
        <v>221</v>
      </c>
      <c r="EM187" s="2" t="s">
        <v>222</v>
      </c>
      <c r="EN187" s="2"/>
      <c r="EO187" s="2" t="s">
        <v>6</v>
      </c>
      <c r="EP187" s="2"/>
      <c r="EQ187" s="2">
        <v>0</v>
      </c>
      <c r="ER187" s="2">
        <v>642.35</v>
      </c>
      <c r="ES187" s="2">
        <v>57.83</v>
      </c>
      <c r="ET187" s="2">
        <v>532.35</v>
      </c>
      <c r="EU187" s="2">
        <v>46.58</v>
      </c>
      <c r="EV187" s="2">
        <v>52.17</v>
      </c>
      <c r="EW187" s="2">
        <v>4.29</v>
      </c>
      <c r="EX187" s="2">
        <v>0</v>
      </c>
      <c r="EY187" s="2">
        <v>0</v>
      </c>
      <c r="EZ187" s="2"/>
      <c r="FA187" s="2"/>
      <c r="FB187" s="2"/>
      <c r="FC187" s="2"/>
      <c r="FD187" s="2"/>
      <c r="FE187" s="2"/>
      <c r="FF187" s="2"/>
      <c r="FG187" s="2"/>
      <c r="FH187" s="2"/>
      <c r="FI187" s="2"/>
      <c r="FJ187" s="2"/>
      <c r="FK187" s="2"/>
      <c r="FL187" s="2"/>
      <c r="FM187" s="2"/>
      <c r="FN187" s="2"/>
      <c r="FO187" s="2"/>
      <c r="FP187" s="2"/>
      <c r="FQ187" s="2">
        <v>0</v>
      </c>
      <c r="FR187" s="2">
        <f t="shared" si="230"/>
        <v>0</v>
      </c>
      <c r="FS187" s="2">
        <v>0</v>
      </c>
      <c r="FT187" s="2"/>
      <c r="FU187" s="2"/>
      <c r="FV187" s="2"/>
      <c r="FW187" s="2"/>
      <c r="FX187" s="2">
        <v>161</v>
      </c>
      <c r="FY187" s="2">
        <v>107</v>
      </c>
      <c r="FZ187" s="2"/>
      <c r="GA187" s="2" t="s">
        <v>6</v>
      </c>
      <c r="GB187" s="2"/>
      <c r="GC187" s="2"/>
      <c r="GD187" s="2">
        <v>0</v>
      </c>
      <c r="GE187" s="2"/>
      <c r="GF187" s="2">
        <v>-46737233</v>
      </c>
      <c r="GG187" s="2">
        <v>2</v>
      </c>
      <c r="GH187" s="2">
        <v>1</v>
      </c>
      <c r="GI187" s="2">
        <v>-2</v>
      </c>
      <c r="GJ187" s="2">
        <v>0</v>
      </c>
      <c r="GK187" s="2">
        <f>ROUND(R187*(R12)/100,2)</f>
        <v>1292.48</v>
      </c>
      <c r="GL187" s="2">
        <f t="shared" si="231"/>
        <v>0</v>
      </c>
      <c r="GM187" s="2">
        <f t="shared" si="232"/>
        <v>13653.17</v>
      </c>
      <c r="GN187" s="2">
        <f t="shared" si="233"/>
        <v>13653.17</v>
      </c>
      <c r="GO187" s="2">
        <f t="shared" si="234"/>
        <v>0</v>
      </c>
      <c r="GP187" s="2">
        <f t="shared" si="235"/>
        <v>0</v>
      </c>
      <c r="GQ187" s="2"/>
      <c r="GR187" s="2">
        <v>0</v>
      </c>
      <c r="GS187" s="2">
        <v>3</v>
      </c>
      <c r="GT187" s="2">
        <v>0</v>
      </c>
      <c r="GU187" s="2" t="s">
        <v>6</v>
      </c>
      <c r="GV187" s="2">
        <f t="shared" si="247"/>
        <v>0</v>
      </c>
      <c r="GW187" s="2">
        <v>1</v>
      </c>
      <c r="GX187" s="2">
        <f t="shared" si="237"/>
        <v>0</v>
      </c>
      <c r="GY187" s="2"/>
      <c r="GZ187" s="2"/>
      <c r="HA187" s="2">
        <v>0</v>
      </c>
      <c r="HB187" s="2">
        <v>0</v>
      </c>
      <c r="HC187" s="2">
        <f t="shared" si="238"/>
        <v>0</v>
      </c>
      <c r="HD187" s="2"/>
      <c r="HE187" s="2" t="s">
        <v>6</v>
      </c>
      <c r="HF187" s="2" t="s">
        <v>6</v>
      </c>
      <c r="HG187" s="2"/>
      <c r="HH187" s="2"/>
      <c r="HI187" s="2"/>
      <c r="HJ187" s="2"/>
      <c r="HK187" s="2"/>
      <c r="HL187" s="2"/>
      <c r="HM187" s="2" t="s">
        <v>6</v>
      </c>
      <c r="HN187" s="2" t="s">
        <v>6</v>
      </c>
      <c r="HO187" s="2" t="s">
        <v>6</v>
      </c>
      <c r="HP187" s="2" t="s">
        <v>6</v>
      </c>
      <c r="HQ187" s="2" t="s">
        <v>6</v>
      </c>
      <c r="HR187" s="2"/>
      <c r="HS187" s="2"/>
      <c r="HT187" s="2"/>
      <c r="HU187" s="2"/>
      <c r="HV187" s="2"/>
      <c r="HW187" s="2"/>
      <c r="HX187" s="2"/>
      <c r="HY187" s="2"/>
      <c r="HZ187" s="2"/>
      <c r="IA187" s="2"/>
      <c r="IB187" s="2"/>
      <c r="IC187" s="2"/>
      <c r="ID187" s="2"/>
      <c r="IE187" s="2"/>
      <c r="IF187" s="2"/>
      <c r="IG187" s="2"/>
      <c r="IH187" s="2"/>
      <c r="II187" s="2"/>
      <c r="IJ187" s="2"/>
      <c r="IK187" s="2">
        <v>0</v>
      </c>
      <c r="IL187" s="2"/>
      <c r="IM187" s="2"/>
      <c r="IN187" s="2"/>
      <c r="IO187" s="2"/>
      <c r="IP187" s="2"/>
      <c r="IQ187" s="2"/>
      <c r="IR187" s="2"/>
      <c r="IS187" s="2"/>
      <c r="IT187" s="2"/>
      <c r="IU187" s="2"/>
    </row>
    <row r="188" spans="1:255">
      <c r="A188">
        <v>17</v>
      </c>
      <c r="B188">
        <v>1</v>
      </c>
      <c r="E188" t="s">
        <v>237</v>
      </c>
      <c r="F188" t="s">
        <v>217</v>
      </c>
      <c r="G188" t="s">
        <v>218</v>
      </c>
      <c r="H188" t="s">
        <v>219</v>
      </c>
      <c r="I188">
        <f>ROUND((1514.4)/100,9)</f>
        <v>15.144</v>
      </c>
      <c r="J188">
        <v>0</v>
      </c>
      <c r="K188">
        <f>ROUND((1514.4)/100,9)</f>
        <v>15.144</v>
      </c>
      <c r="O188">
        <f t="shared" si="203"/>
        <v>166485.32</v>
      </c>
      <c r="P188">
        <f t="shared" si="204"/>
        <v>14266.46</v>
      </c>
      <c r="Q188">
        <f t="shared" si="239"/>
        <v>113613.44</v>
      </c>
      <c r="R188">
        <f t="shared" si="206"/>
        <v>34468.6</v>
      </c>
      <c r="S188">
        <f t="shared" si="207"/>
        <v>38605.42</v>
      </c>
      <c r="T188">
        <f t="shared" si="208"/>
        <v>0</v>
      </c>
      <c r="U188">
        <f t="shared" si="209"/>
        <v>68.021244719999999</v>
      </c>
      <c r="V188">
        <f t="shared" si="210"/>
        <v>0</v>
      </c>
      <c r="W188">
        <f t="shared" si="211"/>
        <v>0</v>
      </c>
      <c r="X188">
        <f t="shared" si="212"/>
        <v>51731.26</v>
      </c>
      <c r="Y188">
        <f t="shared" si="213"/>
        <v>21232.98</v>
      </c>
      <c r="AA188">
        <v>70322059</v>
      </c>
      <c r="AB188">
        <f t="shared" si="214"/>
        <v>642.35</v>
      </c>
      <c r="AC188">
        <f t="shared" si="240"/>
        <v>57.83</v>
      </c>
      <c r="AD188">
        <f t="shared" si="241"/>
        <v>532.35</v>
      </c>
      <c r="AE188">
        <f t="shared" si="242"/>
        <v>46.58</v>
      </c>
      <c r="AF188">
        <f t="shared" si="243"/>
        <v>52.17</v>
      </c>
      <c r="AG188">
        <f t="shared" si="218"/>
        <v>0</v>
      </c>
      <c r="AH188">
        <f t="shared" si="244"/>
        <v>4.29</v>
      </c>
      <c r="AI188">
        <f t="shared" si="245"/>
        <v>0</v>
      </c>
      <c r="AJ188">
        <f t="shared" si="220"/>
        <v>0</v>
      </c>
      <c r="AK188">
        <v>642.35</v>
      </c>
      <c r="AL188">
        <v>57.83</v>
      </c>
      <c r="AM188">
        <v>532.35</v>
      </c>
      <c r="AN188">
        <v>46.58</v>
      </c>
      <c r="AO188">
        <v>52.17</v>
      </c>
      <c r="AP188">
        <v>0</v>
      </c>
      <c r="AQ188">
        <v>4.29</v>
      </c>
      <c r="AR188">
        <v>0</v>
      </c>
      <c r="AS188">
        <v>0</v>
      </c>
      <c r="AT188">
        <v>134</v>
      </c>
      <c r="AU188">
        <v>55</v>
      </c>
      <c r="AV188">
        <v>1.0469999999999999</v>
      </c>
      <c r="AW188">
        <v>1</v>
      </c>
      <c r="AZ188">
        <v>1</v>
      </c>
      <c r="BA188">
        <v>46.67</v>
      </c>
      <c r="BB188">
        <v>13.46</v>
      </c>
      <c r="BC188">
        <v>16.29</v>
      </c>
      <c r="BD188" t="s">
        <v>6</v>
      </c>
      <c r="BE188" t="s">
        <v>6</v>
      </c>
      <c r="BF188" t="s">
        <v>6</v>
      </c>
      <c r="BG188" t="s">
        <v>6</v>
      </c>
      <c r="BH188">
        <v>0</v>
      </c>
      <c r="BI188">
        <v>1</v>
      </c>
      <c r="BJ188" t="s">
        <v>220</v>
      </c>
      <c r="BM188">
        <v>158</v>
      </c>
      <c r="BN188">
        <v>0</v>
      </c>
      <c r="BO188" t="s">
        <v>217</v>
      </c>
      <c r="BP188">
        <v>1</v>
      </c>
      <c r="BQ188">
        <v>30</v>
      </c>
      <c r="BR188">
        <v>0</v>
      </c>
      <c r="BS188">
        <v>46.67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6</v>
      </c>
      <c r="BZ188">
        <v>134</v>
      </c>
      <c r="CA188">
        <v>55</v>
      </c>
      <c r="CB188" t="s">
        <v>6</v>
      </c>
      <c r="CE188">
        <v>30</v>
      </c>
      <c r="CF188">
        <v>0</v>
      </c>
      <c r="CG188">
        <v>0</v>
      </c>
      <c r="CM188">
        <v>0</v>
      </c>
      <c r="CN188" t="s">
        <v>6</v>
      </c>
      <c r="CO188">
        <v>0</v>
      </c>
      <c r="CP188">
        <f t="shared" si="221"/>
        <v>166485.32</v>
      </c>
      <c r="CQ188">
        <f t="shared" si="222"/>
        <v>942.05</v>
      </c>
      <c r="CR188">
        <f t="shared" si="246"/>
        <v>7502.2</v>
      </c>
      <c r="CS188">
        <f t="shared" si="224"/>
        <v>2276.1</v>
      </c>
      <c r="CT188">
        <f t="shared" si="225"/>
        <v>2549.12</v>
      </c>
      <c r="CU188">
        <f t="shared" si="226"/>
        <v>0</v>
      </c>
      <c r="CV188">
        <f t="shared" si="227"/>
        <v>4.4916299999999998</v>
      </c>
      <c r="CW188">
        <f t="shared" si="228"/>
        <v>0</v>
      </c>
      <c r="CX188">
        <f t="shared" si="229"/>
        <v>0</v>
      </c>
      <c r="CY188">
        <f>S188*(BZ188/100)</f>
        <v>51731.262800000004</v>
      </c>
      <c r="CZ188">
        <f>S188*(CA188/100)</f>
        <v>21232.981</v>
      </c>
      <c r="DC188" t="s">
        <v>6</v>
      </c>
      <c r="DD188" t="s">
        <v>6</v>
      </c>
      <c r="DE188" t="s">
        <v>6</v>
      </c>
      <c r="DF188" t="s">
        <v>6</v>
      </c>
      <c r="DG188" t="s">
        <v>6</v>
      </c>
      <c r="DH188" t="s">
        <v>6</v>
      </c>
      <c r="DI188" t="s">
        <v>6</v>
      </c>
      <c r="DJ188" t="s">
        <v>6</v>
      </c>
      <c r="DK188" t="s">
        <v>6</v>
      </c>
      <c r="DL188" t="s">
        <v>6</v>
      </c>
      <c r="DM188" t="s">
        <v>6</v>
      </c>
      <c r="DN188">
        <v>161</v>
      </c>
      <c r="DO188">
        <v>107</v>
      </c>
      <c r="DP188">
        <v>1.0469999999999999</v>
      </c>
      <c r="DQ188">
        <v>1</v>
      </c>
      <c r="DU188">
        <v>1013</v>
      </c>
      <c r="DV188" t="s">
        <v>219</v>
      </c>
      <c r="DW188" t="s">
        <v>219</v>
      </c>
      <c r="DX188">
        <v>1</v>
      </c>
      <c r="DZ188" t="s">
        <v>6</v>
      </c>
      <c r="EA188" t="s">
        <v>6</v>
      </c>
      <c r="EB188" t="s">
        <v>6</v>
      </c>
      <c r="EC188" t="s">
        <v>6</v>
      </c>
      <c r="EE188">
        <v>69252783</v>
      </c>
      <c r="EF188">
        <v>30</v>
      </c>
      <c r="EG188" t="s">
        <v>29</v>
      </c>
      <c r="EH188">
        <v>0</v>
      </c>
      <c r="EI188" t="s">
        <v>6</v>
      </c>
      <c r="EJ188">
        <v>1</v>
      </c>
      <c r="EK188">
        <v>158</v>
      </c>
      <c r="EL188" t="s">
        <v>221</v>
      </c>
      <c r="EM188" t="s">
        <v>222</v>
      </c>
      <c r="EO188" t="s">
        <v>6</v>
      </c>
      <c r="EQ188">
        <v>0</v>
      </c>
      <c r="ER188">
        <v>642.35</v>
      </c>
      <c r="ES188">
        <v>57.83</v>
      </c>
      <c r="ET188">
        <v>532.35</v>
      </c>
      <c r="EU188">
        <v>46.58</v>
      </c>
      <c r="EV188">
        <v>52.17</v>
      </c>
      <c r="EW188">
        <v>4.29</v>
      </c>
      <c r="EX188">
        <v>0</v>
      </c>
      <c r="EY188">
        <v>0</v>
      </c>
      <c r="FQ188">
        <v>0</v>
      </c>
      <c r="FR188">
        <f t="shared" si="230"/>
        <v>0</v>
      </c>
      <c r="FS188">
        <v>0</v>
      </c>
      <c r="FX188">
        <v>161</v>
      </c>
      <c r="FY188">
        <v>107</v>
      </c>
      <c r="GA188" t="s">
        <v>6</v>
      </c>
      <c r="GD188">
        <v>0</v>
      </c>
      <c r="GF188">
        <v>-46737233</v>
      </c>
      <c r="GG188">
        <v>2</v>
      </c>
      <c r="GH188">
        <v>1</v>
      </c>
      <c r="GI188">
        <v>2</v>
      </c>
      <c r="GJ188">
        <v>0</v>
      </c>
      <c r="GK188">
        <f>ROUND(R188*(S12)/100,2)</f>
        <v>55149.760000000002</v>
      </c>
      <c r="GL188">
        <f t="shared" si="231"/>
        <v>0</v>
      </c>
      <c r="GM188">
        <f t="shared" si="232"/>
        <v>294599.32</v>
      </c>
      <c r="GN188">
        <f t="shared" si="233"/>
        <v>294599.32</v>
      </c>
      <c r="GO188">
        <f t="shared" si="234"/>
        <v>0</v>
      </c>
      <c r="GP188">
        <f t="shared" si="235"/>
        <v>0</v>
      </c>
      <c r="GR188">
        <v>0</v>
      </c>
      <c r="GS188">
        <v>0</v>
      </c>
      <c r="GT188">
        <v>0</v>
      </c>
      <c r="GU188" t="s">
        <v>6</v>
      </c>
      <c r="GV188">
        <f t="shared" si="247"/>
        <v>0</v>
      </c>
      <c r="GW188">
        <v>1</v>
      </c>
      <c r="GX188">
        <f t="shared" si="237"/>
        <v>0</v>
      </c>
      <c r="HA188">
        <v>0</v>
      </c>
      <c r="HB188">
        <v>0</v>
      </c>
      <c r="HC188">
        <f t="shared" si="238"/>
        <v>0</v>
      </c>
      <c r="HE188" t="s">
        <v>6</v>
      </c>
      <c r="HF188" t="s">
        <v>6</v>
      </c>
      <c r="HM188" t="s">
        <v>6</v>
      </c>
      <c r="HN188" t="s">
        <v>6</v>
      </c>
      <c r="HO188" t="s">
        <v>6</v>
      </c>
      <c r="HP188" t="s">
        <v>6</v>
      </c>
      <c r="HQ188" t="s">
        <v>6</v>
      </c>
      <c r="IK188">
        <v>0</v>
      </c>
    </row>
    <row r="189" spans="1:255">
      <c r="A189" s="2">
        <v>18</v>
      </c>
      <c r="B189" s="2">
        <v>1</v>
      </c>
      <c r="C189" s="2"/>
      <c r="D189" s="2"/>
      <c r="E189" s="2" t="s">
        <v>238</v>
      </c>
      <c r="F189" s="2" t="s">
        <v>239</v>
      </c>
      <c r="G189" s="2" t="s">
        <v>240</v>
      </c>
      <c r="H189" s="2" t="s">
        <v>226</v>
      </c>
      <c r="I189" s="2">
        <f>I187*J189</f>
        <v>146.29104000000001</v>
      </c>
      <c r="J189" s="2">
        <v>9.66</v>
      </c>
      <c r="K189" s="2">
        <v>9.66</v>
      </c>
      <c r="L189" s="2"/>
      <c r="M189" s="2"/>
      <c r="N189" s="2"/>
      <c r="O189" s="2">
        <f t="shared" si="203"/>
        <v>46416.68</v>
      </c>
      <c r="P189" s="2">
        <f t="shared" si="204"/>
        <v>46416.68</v>
      </c>
      <c r="Q189" s="2">
        <f t="shared" si="239"/>
        <v>0</v>
      </c>
      <c r="R189" s="2">
        <f t="shared" si="206"/>
        <v>0</v>
      </c>
      <c r="S189" s="2">
        <f t="shared" si="207"/>
        <v>0</v>
      </c>
      <c r="T189" s="2">
        <f t="shared" si="208"/>
        <v>0</v>
      </c>
      <c r="U189" s="2">
        <f t="shared" si="209"/>
        <v>0</v>
      </c>
      <c r="V189" s="2">
        <f t="shared" si="210"/>
        <v>0</v>
      </c>
      <c r="W189" s="2">
        <f t="shared" si="211"/>
        <v>0</v>
      </c>
      <c r="X189" s="2">
        <f t="shared" si="212"/>
        <v>0</v>
      </c>
      <c r="Y189" s="2">
        <f t="shared" si="213"/>
        <v>0</v>
      </c>
      <c r="Z189" s="2"/>
      <c r="AA189" s="2">
        <v>70322058</v>
      </c>
      <c r="AB189" s="2">
        <f t="shared" si="214"/>
        <v>317.29000000000002</v>
      </c>
      <c r="AC189" s="2">
        <f t="shared" si="240"/>
        <v>317.29000000000002</v>
      </c>
      <c r="AD189" s="2">
        <f t="shared" si="241"/>
        <v>0</v>
      </c>
      <c r="AE189" s="2">
        <f t="shared" si="242"/>
        <v>0</v>
      </c>
      <c r="AF189" s="2">
        <f t="shared" si="243"/>
        <v>0</v>
      </c>
      <c r="AG189" s="2">
        <f t="shared" si="218"/>
        <v>0</v>
      </c>
      <c r="AH189" s="2">
        <f t="shared" si="244"/>
        <v>0</v>
      </c>
      <c r="AI189" s="2">
        <f t="shared" si="245"/>
        <v>0</v>
      </c>
      <c r="AJ189" s="2">
        <f t="shared" si="220"/>
        <v>0</v>
      </c>
      <c r="AK189" s="2">
        <v>317.29000000000002</v>
      </c>
      <c r="AL189" s="2">
        <v>317.29000000000002</v>
      </c>
      <c r="AM189" s="2">
        <v>0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161</v>
      </c>
      <c r="AU189" s="2">
        <v>107</v>
      </c>
      <c r="AV189" s="2">
        <v>1.0469999999999999</v>
      </c>
      <c r="AW189" s="2">
        <v>1</v>
      </c>
      <c r="AX189" s="2"/>
      <c r="AY189" s="2"/>
      <c r="AZ189" s="2">
        <v>1</v>
      </c>
      <c r="BA189" s="2">
        <v>1</v>
      </c>
      <c r="BB189" s="2">
        <v>1</v>
      </c>
      <c r="BC189" s="2">
        <v>1</v>
      </c>
      <c r="BD189" s="2" t="s">
        <v>6</v>
      </c>
      <c r="BE189" s="2" t="s">
        <v>6</v>
      </c>
      <c r="BF189" s="2" t="s">
        <v>6</v>
      </c>
      <c r="BG189" s="2" t="s">
        <v>6</v>
      </c>
      <c r="BH189" s="2">
        <v>3</v>
      </c>
      <c r="BI189" s="2">
        <v>1</v>
      </c>
      <c r="BJ189" s="2" t="s">
        <v>241</v>
      </c>
      <c r="BK189" s="2"/>
      <c r="BL189" s="2"/>
      <c r="BM189" s="2">
        <v>158</v>
      </c>
      <c r="BN189" s="2">
        <v>0</v>
      </c>
      <c r="BO189" s="2" t="s">
        <v>6</v>
      </c>
      <c r="BP189" s="2">
        <v>0</v>
      </c>
      <c r="BQ189" s="2">
        <v>30</v>
      </c>
      <c r="BR189" s="2">
        <v>0</v>
      </c>
      <c r="BS189" s="2">
        <v>1</v>
      </c>
      <c r="BT189" s="2">
        <v>1</v>
      </c>
      <c r="BU189" s="2">
        <v>1</v>
      </c>
      <c r="BV189" s="2">
        <v>1</v>
      </c>
      <c r="BW189" s="2">
        <v>1</v>
      </c>
      <c r="BX189" s="2">
        <v>1</v>
      </c>
      <c r="BY189" s="2" t="s">
        <v>6</v>
      </c>
      <c r="BZ189" s="2">
        <v>161</v>
      </c>
      <c r="CA189" s="2">
        <v>107</v>
      </c>
      <c r="CB189" s="2" t="s">
        <v>6</v>
      </c>
      <c r="CC189" s="2"/>
      <c r="CD189" s="2"/>
      <c r="CE189" s="2">
        <v>30</v>
      </c>
      <c r="CF189" s="2">
        <v>0</v>
      </c>
      <c r="CG189" s="2">
        <v>0</v>
      </c>
      <c r="CH189" s="2"/>
      <c r="CI189" s="2"/>
      <c r="CJ189" s="2"/>
      <c r="CK189" s="2"/>
      <c r="CL189" s="2"/>
      <c r="CM189" s="2">
        <v>0</v>
      </c>
      <c r="CN189" s="2" t="s">
        <v>6</v>
      </c>
      <c r="CO189" s="2">
        <v>0</v>
      </c>
      <c r="CP189" s="2">
        <f t="shared" si="221"/>
        <v>46416.68</v>
      </c>
      <c r="CQ189" s="2">
        <f t="shared" si="222"/>
        <v>317.29000000000002</v>
      </c>
      <c r="CR189" s="2">
        <f t="shared" si="246"/>
        <v>0</v>
      </c>
      <c r="CS189" s="2">
        <f t="shared" si="224"/>
        <v>0</v>
      </c>
      <c r="CT189" s="2">
        <f t="shared" si="225"/>
        <v>0</v>
      </c>
      <c r="CU189" s="2">
        <f t="shared" si="226"/>
        <v>0</v>
      </c>
      <c r="CV189" s="2">
        <f t="shared" si="227"/>
        <v>0</v>
      </c>
      <c r="CW189" s="2">
        <f t="shared" si="228"/>
        <v>0</v>
      </c>
      <c r="CX189" s="2">
        <f t="shared" si="229"/>
        <v>0</v>
      </c>
      <c r="CY189" s="2">
        <f>((S189*BZ189)/100)</f>
        <v>0</v>
      </c>
      <c r="CZ189" s="2">
        <f>((S189*CA189)/100)</f>
        <v>0</v>
      </c>
      <c r="DA189" s="2"/>
      <c r="DB189" s="2"/>
      <c r="DC189" s="2" t="s">
        <v>6</v>
      </c>
      <c r="DD189" s="2" t="s">
        <v>6</v>
      </c>
      <c r="DE189" s="2" t="s">
        <v>6</v>
      </c>
      <c r="DF189" s="2" t="s">
        <v>6</v>
      </c>
      <c r="DG189" s="2" t="s">
        <v>6</v>
      </c>
      <c r="DH189" s="2" t="s">
        <v>6</v>
      </c>
      <c r="DI189" s="2" t="s">
        <v>6</v>
      </c>
      <c r="DJ189" s="2" t="s">
        <v>6</v>
      </c>
      <c r="DK189" s="2" t="s">
        <v>6</v>
      </c>
      <c r="DL189" s="2" t="s">
        <v>6</v>
      </c>
      <c r="DM189" s="2" t="s">
        <v>6</v>
      </c>
      <c r="DN189" s="2">
        <v>0</v>
      </c>
      <c r="DO189" s="2">
        <v>0</v>
      </c>
      <c r="DP189" s="2">
        <v>1</v>
      </c>
      <c r="DQ189" s="2">
        <v>1</v>
      </c>
      <c r="DR189" s="2"/>
      <c r="DS189" s="2"/>
      <c r="DT189" s="2"/>
      <c r="DU189" s="2">
        <v>1009</v>
      </c>
      <c r="DV189" s="2" t="s">
        <v>226</v>
      </c>
      <c r="DW189" s="2" t="s">
        <v>226</v>
      </c>
      <c r="DX189" s="2">
        <v>1000</v>
      </c>
      <c r="DY189" s="2"/>
      <c r="DZ189" s="2" t="s">
        <v>6</v>
      </c>
      <c r="EA189" s="2" t="s">
        <v>6</v>
      </c>
      <c r="EB189" s="2" t="s">
        <v>6</v>
      </c>
      <c r="EC189" s="2" t="s">
        <v>6</v>
      </c>
      <c r="ED189" s="2"/>
      <c r="EE189" s="2">
        <v>69252783</v>
      </c>
      <c r="EF189" s="2">
        <v>30</v>
      </c>
      <c r="EG189" s="2" t="s">
        <v>29</v>
      </c>
      <c r="EH189" s="2">
        <v>0</v>
      </c>
      <c r="EI189" s="2" t="s">
        <v>6</v>
      </c>
      <c r="EJ189" s="2">
        <v>1</v>
      </c>
      <c r="EK189" s="2">
        <v>158</v>
      </c>
      <c r="EL189" s="2" t="s">
        <v>221</v>
      </c>
      <c r="EM189" s="2" t="s">
        <v>222</v>
      </c>
      <c r="EN189" s="2"/>
      <c r="EO189" s="2" t="s">
        <v>6</v>
      </c>
      <c r="EP189" s="2"/>
      <c r="EQ189" s="2">
        <v>0</v>
      </c>
      <c r="ER189" s="2">
        <v>317.29000000000002</v>
      </c>
      <c r="ES189" s="2">
        <v>317.29000000000002</v>
      </c>
      <c r="ET189" s="2">
        <v>0</v>
      </c>
      <c r="EU189" s="2">
        <v>0</v>
      </c>
      <c r="EV189" s="2">
        <v>0</v>
      </c>
      <c r="EW189" s="2">
        <v>0</v>
      </c>
      <c r="EX189" s="2">
        <v>0</v>
      </c>
      <c r="EY189" s="2"/>
      <c r="EZ189" s="2"/>
      <c r="FA189" s="2"/>
      <c r="FB189" s="2"/>
      <c r="FC189" s="2"/>
      <c r="FD189" s="2"/>
      <c r="FE189" s="2"/>
      <c r="FF189" s="2"/>
      <c r="FG189" s="2"/>
      <c r="FH189" s="2"/>
      <c r="FI189" s="2"/>
      <c r="FJ189" s="2"/>
      <c r="FK189" s="2"/>
      <c r="FL189" s="2"/>
      <c r="FM189" s="2"/>
      <c r="FN189" s="2"/>
      <c r="FO189" s="2"/>
      <c r="FP189" s="2"/>
      <c r="FQ189" s="2">
        <v>0</v>
      </c>
      <c r="FR189" s="2">
        <f t="shared" si="230"/>
        <v>0</v>
      </c>
      <c r="FS189" s="2">
        <v>0</v>
      </c>
      <c r="FT189" s="2"/>
      <c r="FU189" s="2"/>
      <c r="FV189" s="2"/>
      <c r="FW189" s="2"/>
      <c r="FX189" s="2">
        <v>161</v>
      </c>
      <c r="FY189" s="2">
        <v>107</v>
      </c>
      <c r="FZ189" s="2"/>
      <c r="GA189" s="2" t="s">
        <v>6</v>
      </c>
      <c r="GB189" s="2"/>
      <c r="GC189" s="2"/>
      <c r="GD189" s="2">
        <v>0</v>
      </c>
      <c r="GE189" s="2"/>
      <c r="GF189" s="2">
        <v>883834222</v>
      </c>
      <c r="GG189" s="2">
        <v>2</v>
      </c>
      <c r="GH189" s="2">
        <v>1</v>
      </c>
      <c r="GI189" s="2">
        <v>-2</v>
      </c>
      <c r="GJ189" s="2">
        <v>0</v>
      </c>
      <c r="GK189" s="2">
        <f>ROUND(R189*(R12)/100,2)</f>
        <v>0</v>
      </c>
      <c r="GL189" s="2">
        <f t="shared" si="231"/>
        <v>0</v>
      </c>
      <c r="GM189" s="2">
        <f t="shared" si="232"/>
        <v>46416.68</v>
      </c>
      <c r="GN189" s="2">
        <f t="shared" si="233"/>
        <v>46416.68</v>
      </c>
      <c r="GO189" s="2">
        <f t="shared" si="234"/>
        <v>0</v>
      </c>
      <c r="GP189" s="2">
        <f t="shared" si="235"/>
        <v>0</v>
      </c>
      <c r="GQ189" s="2"/>
      <c r="GR189" s="2">
        <v>0</v>
      </c>
      <c r="GS189" s="2">
        <v>3</v>
      </c>
      <c r="GT189" s="2">
        <v>0</v>
      </c>
      <c r="GU189" s="2" t="s">
        <v>6</v>
      </c>
      <c r="GV189" s="2">
        <f t="shared" si="247"/>
        <v>0</v>
      </c>
      <c r="GW189" s="2">
        <v>1</v>
      </c>
      <c r="GX189" s="2">
        <f t="shared" si="237"/>
        <v>0</v>
      </c>
      <c r="GY189" s="2"/>
      <c r="GZ189" s="2"/>
      <c r="HA189" s="2">
        <v>0</v>
      </c>
      <c r="HB189" s="2">
        <v>0</v>
      </c>
      <c r="HC189" s="2">
        <f t="shared" si="238"/>
        <v>0</v>
      </c>
      <c r="HD189" s="2"/>
      <c r="HE189" s="2" t="s">
        <v>6</v>
      </c>
      <c r="HF189" s="2" t="s">
        <v>6</v>
      </c>
      <c r="HG189" s="2"/>
      <c r="HH189" s="2"/>
      <c r="HI189" s="2"/>
      <c r="HJ189" s="2"/>
      <c r="HK189" s="2"/>
      <c r="HL189" s="2"/>
      <c r="HM189" s="2" t="s">
        <v>6</v>
      </c>
      <c r="HN189" s="2" t="s">
        <v>6</v>
      </c>
      <c r="HO189" s="2" t="s">
        <v>6</v>
      </c>
      <c r="HP189" s="2" t="s">
        <v>6</v>
      </c>
      <c r="HQ189" s="2" t="s">
        <v>6</v>
      </c>
      <c r="HR189" s="2"/>
      <c r="HS189" s="2"/>
      <c r="HT189" s="2"/>
      <c r="HU189" s="2"/>
      <c r="HV189" s="2"/>
      <c r="HW189" s="2"/>
      <c r="HX189" s="2"/>
      <c r="HY189" s="2"/>
      <c r="HZ189" s="2"/>
      <c r="IA189" s="2"/>
      <c r="IB189" s="2"/>
      <c r="IC189" s="2"/>
      <c r="ID189" s="2"/>
      <c r="IE189" s="2"/>
      <c r="IF189" s="2"/>
      <c r="IG189" s="2"/>
      <c r="IH189" s="2"/>
      <c r="II189" s="2"/>
      <c r="IJ189" s="2"/>
      <c r="IK189" s="2">
        <v>0</v>
      </c>
      <c r="IL189" s="2"/>
      <c r="IM189" s="2"/>
      <c r="IN189" s="2"/>
      <c r="IO189" s="2"/>
      <c r="IP189" s="2"/>
      <c r="IQ189" s="2"/>
      <c r="IR189" s="2"/>
      <c r="IS189" s="2"/>
      <c r="IT189" s="2"/>
      <c r="IU189" s="2"/>
    </row>
    <row r="190" spans="1:255">
      <c r="A190">
        <v>18</v>
      </c>
      <c r="B190">
        <v>1</v>
      </c>
      <c r="E190" t="s">
        <v>238</v>
      </c>
      <c r="F190" t="s">
        <v>239</v>
      </c>
      <c r="G190" t="s">
        <v>240</v>
      </c>
      <c r="H190" t="s">
        <v>226</v>
      </c>
      <c r="I190">
        <f>I188*J190</f>
        <v>146.29104000000001</v>
      </c>
      <c r="J190">
        <v>9.66</v>
      </c>
      <c r="K190">
        <v>9.66</v>
      </c>
      <c r="O190">
        <f t="shared" si="203"/>
        <v>656331.86</v>
      </c>
      <c r="P190">
        <f t="shared" si="204"/>
        <v>656331.86</v>
      </c>
      <c r="Q190">
        <f t="shared" si="239"/>
        <v>0</v>
      </c>
      <c r="R190">
        <f t="shared" si="206"/>
        <v>0</v>
      </c>
      <c r="S190">
        <f t="shared" si="207"/>
        <v>0</v>
      </c>
      <c r="T190">
        <f t="shared" si="208"/>
        <v>0</v>
      </c>
      <c r="U190">
        <f t="shared" si="209"/>
        <v>0</v>
      </c>
      <c r="V190">
        <f t="shared" si="210"/>
        <v>0</v>
      </c>
      <c r="W190">
        <f t="shared" si="211"/>
        <v>0</v>
      </c>
      <c r="X190">
        <f t="shared" si="212"/>
        <v>0</v>
      </c>
      <c r="Y190">
        <f t="shared" si="213"/>
        <v>0</v>
      </c>
      <c r="AA190">
        <v>70322059</v>
      </c>
      <c r="AB190">
        <f t="shared" si="214"/>
        <v>317.29000000000002</v>
      </c>
      <c r="AC190">
        <f t="shared" si="240"/>
        <v>317.29000000000002</v>
      </c>
      <c r="AD190">
        <f t="shared" si="241"/>
        <v>0</v>
      </c>
      <c r="AE190">
        <f t="shared" si="242"/>
        <v>0</v>
      </c>
      <c r="AF190">
        <f t="shared" si="243"/>
        <v>0</v>
      </c>
      <c r="AG190">
        <f t="shared" si="218"/>
        <v>0</v>
      </c>
      <c r="AH190">
        <f t="shared" si="244"/>
        <v>0</v>
      </c>
      <c r="AI190">
        <f t="shared" si="245"/>
        <v>0</v>
      </c>
      <c r="AJ190">
        <f t="shared" si="220"/>
        <v>0</v>
      </c>
      <c r="AK190">
        <v>317.29000000000002</v>
      </c>
      <c r="AL190">
        <v>317.29000000000002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1.0469999999999999</v>
      </c>
      <c r="AW190">
        <v>1</v>
      </c>
      <c r="AZ190">
        <v>1</v>
      </c>
      <c r="BA190">
        <v>1</v>
      </c>
      <c r="BB190">
        <v>1</v>
      </c>
      <c r="BC190">
        <v>14.14</v>
      </c>
      <c r="BD190" t="s">
        <v>6</v>
      </c>
      <c r="BE190" t="s">
        <v>6</v>
      </c>
      <c r="BF190" t="s">
        <v>6</v>
      </c>
      <c r="BG190" t="s">
        <v>6</v>
      </c>
      <c r="BH190">
        <v>3</v>
      </c>
      <c r="BI190">
        <v>1</v>
      </c>
      <c r="BJ190" t="s">
        <v>241</v>
      </c>
      <c r="BM190">
        <v>158</v>
      </c>
      <c r="BN190">
        <v>0</v>
      </c>
      <c r="BO190" t="s">
        <v>239</v>
      </c>
      <c r="BP190">
        <v>1</v>
      </c>
      <c r="BQ190">
        <v>30</v>
      </c>
      <c r="BR190">
        <v>0</v>
      </c>
      <c r="BS190">
        <v>1</v>
      </c>
      <c r="BT190">
        <v>1</v>
      </c>
      <c r="BU190">
        <v>1</v>
      </c>
      <c r="BV190">
        <v>1</v>
      </c>
      <c r="BW190">
        <v>1</v>
      </c>
      <c r="BX190">
        <v>1</v>
      </c>
      <c r="BY190" t="s">
        <v>6</v>
      </c>
      <c r="BZ190">
        <v>0</v>
      </c>
      <c r="CA190">
        <v>0</v>
      </c>
      <c r="CB190" t="s">
        <v>6</v>
      </c>
      <c r="CE190">
        <v>30</v>
      </c>
      <c r="CF190">
        <v>0</v>
      </c>
      <c r="CG190">
        <v>0</v>
      </c>
      <c r="CM190">
        <v>0</v>
      </c>
      <c r="CN190" t="s">
        <v>6</v>
      </c>
      <c r="CO190">
        <v>0</v>
      </c>
      <c r="CP190">
        <f t="shared" si="221"/>
        <v>656331.86</v>
      </c>
      <c r="CQ190">
        <f t="shared" si="222"/>
        <v>4486.4799999999996</v>
      </c>
      <c r="CR190">
        <f t="shared" si="246"/>
        <v>0</v>
      </c>
      <c r="CS190">
        <f t="shared" si="224"/>
        <v>0</v>
      </c>
      <c r="CT190">
        <f t="shared" si="225"/>
        <v>0</v>
      </c>
      <c r="CU190">
        <f t="shared" si="226"/>
        <v>0</v>
      </c>
      <c r="CV190">
        <f t="shared" si="227"/>
        <v>0</v>
      </c>
      <c r="CW190">
        <f t="shared" si="228"/>
        <v>0</v>
      </c>
      <c r="CX190">
        <f t="shared" si="229"/>
        <v>0</v>
      </c>
      <c r="CY190">
        <f>S190*(BZ190/100)</f>
        <v>0</v>
      </c>
      <c r="CZ190">
        <f>S190*(CA190/100)</f>
        <v>0</v>
      </c>
      <c r="DC190" t="s">
        <v>6</v>
      </c>
      <c r="DD190" t="s">
        <v>6</v>
      </c>
      <c r="DE190" t="s">
        <v>6</v>
      </c>
      <c r="DF190" t="s">
        <v>6</v>
      </c>
      <c r="DG190" t="s">
        <v>6</v>
      </c>
      <c r="DH190" t="s">
        <v>6</v>
      </c>
      <c r="DI190" t="s">
        <v>6</v>
      </c>
      <c r="DJ190" t="s">
        <v>6</v>
      </c>
      <c r="DK190" t="s">
        <v>6</v>
      </c>
      <c r="DL190" t="s">
        <v>6</v>
      </c>
      <c r="DM190" t="s">
        <v>6</v>
      </c>
      <c r="DN190">
        <v>161</v>
      </c>
      <c r="DO190">
        <v>107</v>
      </c>
      <c r="DP190">
        <v>1.0469999999999999</v>
      </c>
      <c r="DQ190">
        <v>1</v>
      </c>
      <c r="DU190">
        <v>1009</v>
      </c>
      <c r="DV190" t="s">
        <v>226</v>
      </c>
      <c r="DW190" t="s">
        <v>226</v>
      </c>
      <c r="DX190">
        <v>1000</v>
      </c>
      <c r="DZ190" t="s">
        <v>6</v>
      </c>
      <c r="EA190" t="s">
        <v>6</v>
      </c>
      <c r="EB190" t="s">
        <v>6</v>
      </c>
      <c r="EC190" t="s">
        <v>6</v>
      </c>
      <c r="EE190">
        <v>69252783</v>
      </c>
      <c r="EF190">
        <v>30</v>
      </c>
      <c r="EG190" t="s">
        <v>29</v>
      </c>
      <c r="EH190">
        <v>0</v>
      </c>
      <c r="EI190" t="s">
        <v>6</v>
      </c>
      <c r="EJ190">
        <v>1</v>
      </c>
      <c r="EK190">
        <v>158</v>
      </c>
      <c r="EL190" t="s">
        <v>221</v>
      </c>
      <c r="EM190" t="s">
        <v>222</v>
      </c>
      <c r="EO190" t="s">
        <v>6</v>
      </c>
      <c r="EQ190">
        <v>0</v>
      </c>
      <c r="ER190">
        <v>317.29000000000002</v>
      </c>
      <c r="ES190">
        <v>317.29000000000002</v>
      </c>
      <c r="ET190">
        <v>0</v>
      </c>
      <c r="EU190">
        <v>0</v>
      </c>
      <c r="EV190">
        <v>0</v>
      </c>
      <c r="EW190">
        <v>0</v>
      </c>
      <c r="EX190">
        <v>0</v>
      </c>
      <c r="FQ190">
        <v>0</v>
      </c>
      <c r="FR190">
        <f t="shared" si="230"/>
        <v>0</v>
      </c>
      <c r="FS190">
        <v>0</v>
      </c>
      <c r="FX190">
        <v>161</v>
      </c>
      <c r="FY190">
        <v>107</v>
      </c>
      <c r="GA190" t="s">
        <v>6</v>
      </c>
      <c r="GD190">
        <v>0</v>
      </c>
      <c r="GF190">
        <v>883834222</v>
      </c>
      <c r="GG190">
        <v>2</v>
      </c>
      <c r="GH190">
        <v>1</v>
      </c>
      <c r="GI190">
        <v>2</v>
      </c>
      <c r="GJ190">
        <v>0</v>
      </c>
      <c r="GK190">
        <f>ROUND(R190*(S12)/100,2)</f>
        <v>0</v>
      </c>
      <c r="GL190">
        <f t="shared" si="231"/>
        <v>0</v>
      </c>
      <c r="GM190">
        <f t="shared" si="232"/>
        <v>656331.86</v>
      </c>
      <c r="GN190">
        <f t="shared" si="233"/>
        <v>656331.86</v>
      </c>
      <c r="GO190">
        <f t="shared" si="234"/>
        <v>0</v>
      </c>
      <c r="GP190">
        <f t="shared" si="235"/>
        <v>0</v>
      </c>
      <c r="GR190">
        <v>0</v>
      </c>
      <c r="GS190">
        <v>0</v>
      </c>
      <c r="GT190">
        <v>0</v>
      </c>
      <c r="GU190" t="s">
        <v>6</v>
      </c>
      <c r="GV190">
        <f t="shared" si="247"/>
        <v>0</v>
      </c>
      <c r="GW190">
        <v>1</v>
      </c>
      <c r="GX190">
        <f t="shared" si="237"/>
        <v>0</v>
      </c>
      <c r="HA190">
        <v>0</v>
      </c>
      <c r="HB190">
        <v>0</v>
      </c>
      <c r="HC190">
        <f t="shared" si="238"/>
        <v>0</v>
      </c>
      <c r="HE190" t="s">
        <v>6</v>
      </c>
      <c r="HF190" t="s">
        <v>6</v>
      </c>
      <c r="HM190" t="s">
        <v>6</v>
      </c>
      <c r="HN190" t="s">
        <v>6</v>
      </c>
      <c r="HO190" t="s">
        <v>6</v>
      </c>
      <c r="HP190" t="s">
        <v>6</v>
      </c>
      <c r="HQ190" t="s">
        <v>6</v>
      </c>
      <c r="IK190">
        <v>0</v>
      </c>
    </row>
    <row r="191" spans="1:255">
      <c r="A191" s="2">
        <v>17</v>
      </c>
      <c r="B191" s="2">
        <v>1</v>
      </c>
      <c r="C191" s="2"/>
      <c r="D191" s="2"/>
      <c r="E191" s="2" t="s">
        <v>242</v>
      </c>
      <c r="F191" s="2" t="s">
        <v>217</v>
      </c>
      <c r="G191" s="2" t="s">
        <v>243</v>
      </c>
      <c r="H191" s="2" t="s">
        <v>219</v>
      </c>
      <c r="I191" s="2">
        <f>ROUND(I187,9)</f>
        <v>15.144</v>
      </c>
      <c r="J191" s="2">
        <v>0</v>
      </c>
      <c r="K191" s="2">
        <f>ROUND(I187,9)</f>
        <v>15.144</v>
      </c>
      <c r="L191" s="2"/>
      <c r="M191" s="2"/>
      <c r="N191" s="2"/>
      <c r="O191" s="2">
        <f t="shared" si="203"/>
        <v>10143.799999999999</v>
      </c>
      <c r="P191" s="2">
        <f t="shared" si="204"/>
        <v>875.78</v>
      </c>
      <c r="Q191" s="2">
        <f t="shared" si="239"/>
        <v>8440.82</v>
      </c>
      <c r="R191" s="2">
        <f t="shared" si="206"/>
        <v>738.56</v>
      </c>
      <c r="S191" s="2">
        <f t="shared" si="207"/>
        <v>827.2</v>
      </c>
      <c r="T191" s="2">
        <f t="shared" si="208"/>
        <v>0</v>
      </c>
      <c r="U191" s="2">
        <f t="shared" si="209"/>
        <v>68.021244719999999</v>
      </c>
      <c r="V191" s="2">
        <f t="shared" si="210"/>
        <v>0</v>
      </c>
      <c r="W191" s="2">
        <f t="shared" si="211"/>
        <v>0</v>
      </c>
      <c r="X191" s="2">
        <f t="shared" si="212"/>
        <v>1331.79</v>
      </c>
      <c r="Y191" s="2">
        <f t="shared" si="213"/>
        <v>885.1</v>
      </c>
      <c r="Z191" s="2"/>
      <c r="AA191" s="2">
        <v>70322058</v>
      </c>
      <c r="AB191" s="2">
        <f t="shared" si="214"/>
        <v>642.35</v>
      </c>
      <c r="AC191" s="2">
        <f t="shared" si="240"/>
        <v>57.83</v>
      </c>
      <c r="AD191" s="2">
        <f t="shared" si="241"/>
        <v>532.35</v>
      </c>
      <c r="AE191" s="2">
        <f t="shared" si="242"/>
        <v>46.58</v>
      </c>
      <c r="AF191" s="2">
        <f t="shared" si="243"/>
        <v>52.17</v>
      </c>
      <c r="AG191" s="2">
        <f t="shared" si="218"/>
        <v>0</v>
      </c>
      <c r="AH191" s="2">
        <f t="shared" si="244"/>
        <v>4.29</v>
      </c>
      <c r="AI191" s="2">
        <f t="shared" si="245"/>
        <v>0</v>
      </c>
      <c r="AJ191" s="2">
        <f t="shared" si="220"/>
        <v>0</v>
      </c>
      <c r="AK191" s="2">
        <v>642.35</v>
      </c>
      <c r="AL191" s="2">
        <v>57.83</v>
      </c>
      <c r="AM191" s="2">
        <v>532.35</v>
      </c>
      <c r="AN191" s="2">
        <v>46.58</v>
      </c>
      <c r="AO191" s="2">
        <v>52.17</v>
      </c>
      <c r="AP191" s="2">
        <v>0</v>
      </c>
      <c r="AQ191" s="2">
        <v>4.29</v>
      </c>
      <c r="AR191" s="2">
        <v>0</v>
      </c>
      <c r="AS191" s="2">
        <v>0</v>
      </c>
      <c r="AT191" s="2">
        <v>161</v>
      </c>
      <c r="AU191" s="2">
        <v>107</v>
      </c>
      <c r="AV191" s="2">
        <v>1.0469999999999999</v>
      </c>
      <c r="AW191" s="2">
        <v>1</v>
      </c>
      <c r="AX191" s="2"/>
      <c r="AY191" s="2"/>
      <c r="AZ191" s="2">
        <v>1</v>
      </c>
      <c r="BA191" s="2">
        <v>1</v>
      </c>
      <c r="BB191" s="2">
        <v>1</v>
      </c>
      <c r="BC191" s="2">
        <v>1</v>
      </c>
      <c r="BD191" s="2" t="s">
        <v>6</v>
      </c>
      <c r="BE191" s="2" t="s">
        <v>6</v>
      </c>
      <c r="BF191" s="2" t="s">
        <v>6</v>
      </c>
      <c r="BG191" s="2" t="s">
        <v>6</v>
      </c>
      <c r="BH191" s="2">
        <v>0</v>
      </c>
      <c r="BI191" s="2">
        <v>1</v>
      </c>
      <c r="BJ191" s="2" t="s">
        <v>220</v>
      </c>
      <c r="BK191" s="2"/>
      <c r="BL191" s="2"/>
      <c r="BM191" s="2">
        <v>158</v>
      </c>
      <c r="BN191" s="2">
        <v>0</v>
      </c>
      <c r="BO191" s="2" t="s">
        <v>6</v>
      </c>
      <c r="BP191" s="2">
        <v>0</v>
      </c>
      <c r="BQ191" s="2">
        <v>30</v>
      </c>
      <c r="BR191" s="2">
        <v>0</v>
      </c>
      <c r="BS191" s="2">
        <v>1</v>
      </c>
      <c r="BT191" s="2">
        <v>1</v>
      </c>
      <c r="BU191" s="2">
        <v>1</v>
      </c>
      <c r="BV191" s="2">
        <v>1</v>
      </c>
      <c r="BW191" s="2">
        <v>1</v>
      </c>
      <c r="BX191" s="2">
        <v>1</v>
      </c>
      <c r="BY191" s="2" t="s">
        <v>6</v>
      </c>
      <c r="BZ191" s="2">
        <v>161</v>
      </c>
      <c r="CA191" s="2">
        <v>107</v>
      </c>
      <c r="CB191" s="2" t="s">
        <v>6</v>
      </c>
      <c r="CC191" s="2"/>
      <c r="CD191" s="2"/>
      <c r="CE191" s="2">
        <v>30</v>
      </c>
      <c r="CF191" s="2">
        <v>0</v>
      </c>
      <c r="CG191" s="2">
        <v>0</v>
      </c>
      <c r="CH191" s="2"/>
      <c r="CI191" s="2"/>
      <c r="CJ191" s="2"/>
      <c r="CK191" s="2"/>
      <c r="CL191" s="2"/>
      <c r="CM191" s="2">
        <v>0</v>
      </c>
      <c r="CN191" s="2" t="s">
        <v>6</v>
      </c>
      <c r="CO191" s="2">
        <v>0</v>
      </c>
      <c r="CP191" s="2">
        <f t="shared" si="221"/>
        <v>10143.800000000001</v>
      </c>
      <c r="CQ191" s="2">
        <f t="shared" si="222"/>
        <v>57.83</v>
      </c>
      <c r="CR191" s="2">
        <f t="shared" si="246"/>
        <v>557.37</v>
      </c>
      <c r="CS191" s="2">
        <f t="shared" si="224"/>
        <v>48.77</v>
      </c>
      <c r="CT191" s="2">
        <f t="shared" si="225"/>
        <v>54.62</v>
      </c>
      <c r="CU191" s="2">
        <f t="shared" si="226"/>
        <v>0</v>
      </c>
      <c r="CV191" s="2">
        <f t="shared" si="227"/>
        <v>4.4916299999999998</v>
      </c>
      <c r="CW191" s="2">
        <f t="shared" si="228"/>
        <v>0</v>
      </c>
      <c r="CX191" s="2">
        <f t="shared" si="229"/>
        <v>0</v>
      </c>
      <c r="CY191" s="2">
        <f>((S191*BZ191)/100)</f>
        <v>1331.7920000000001</v>
      </c>
      <c r="CZ191" s="2">
        <f>((S191*CA191)/100)</f>
        <v>885.10400000000004</v>
      </c>
      <c r="DA191" s="2"/>
      <c r="DB191" s="2"/>
      <c r="DC191" s="2" t="s">
        <v>6</v>
      </c>
      <c r="DD191" s="2" t="s">
        <v>6</v>
      </c>
      <c r="DE191" s="2" t="s">
        <v>6</v>
      </c>
      <c r="DF191" s="2" t="s">
        <v>6</v>
      </c>
      <c r="DG191" s="2" t="s">
        <v>6</v>
      </c>
      <c r="DH191" s="2" t="s">
        <v>6</v>
      </c>
      <c r="DI191" s="2" t="s">
        <v>6</v>
      </c>
      <c r="DJ191" s="2" t="s">
        <v>6</v>
      </c>
      <c r="DK191" s="2" t="s">
        <v>6</v>
      </c>
      <c r="DL191" s="2" t="s">
        <v>6</v>
      </c>
      <c r="DM191" s="2" t="s">
        <v>6</v>
      </c>
      <c r="DN191" s="2">
        <v>0</v>
      </c>
      <c r="DO191" s="2">
        <v>0</v>
      </c>
      <c r="DP191" s="2">
        <v>1</v>
      </c>
      <c r="DQ191" s="2">
        <v>1</v>
      </c>
      <c r="DR191" s="2"/>
      <c r="DS191" s="2"/>
      <c r="DT191" s="2"/>
      <c r="DU191" s="2">
        <v>1013</v>
      </c>
      <c r="DV191" s="2" t="s">
        <v>219</v>
      </c>
      <c r="DW191" s="2" t="s">
        <v>219</v>
      </c>
      <c r="DX191" s="2">
        <v>1</v>
      </c>
      <c r="DY191" s="2"/>
      <c r="DZ191" s="2" t="s">
        <v>6</v>
      </c>
      <c r="EA191" s="2" t="s">
        <v>6</v>
      </c>
      <c r="EB191" s="2" t="s">
        <v>6</v>
      </c>
      <c r="EC191" s="2" t="s">
        <v>6</v>
      </c>
      <c r="ED191" s="2"/>
      <c r="EE191" s="2">
        <v>69252783</v>
      </c>
      <c r="EF191" s="2">
        <v>30</v>
      </c>
      <c r="EG191" s="2" t="s">
        <v>29</v>
      </c>
      <c r="EH191" s="2">
        <v>0</v>
      </c>
      <c r="EI191" s="2" t="s">
        <v>6</v>
      </c>
      <c r="EJ191" s="2">
        <v>1</v>
      </c>
      <c r="EK191" s="2">
        <v>158</v>
      </c>
      <c r="EL191" s="2" t="s">
        <v>221</v>
      </c>
      <c r="EM191" s="2" t="s">
        <v>222</v>
      </c>
      <c r="EN191" s="2"/>
      <c r="EO191" s="2" t="s">
        <v>6</v>
      </c>
      <c r="EP191" s="2"/>
      <c r="EQ191" s="2">
        <v>0</v>
      </c>
      <c r="ER191" s="2">
        <v>642.35</v>
      </c>
      <c r="ES191" s="2">
        <v>57.83</v>
      </c>
      <c r="ET191" s="2">
        <v>532.35</v>
      </c>
      <c r="EU191" s="2">
        <v>46.58</v>
      </c>
      <c r="EV191" s="2">
        <v>52.17</v>
      </c>
      <c r="EW191" s="2">
        <v>4.29</v>
      </c>
      <c r="EX191" s="2">
        <v>0</v>
      </c>
      <c r="EY191" s="2">
        <v>0</v>
      </c>
      <c r="EZ191" s="2"/>
      <c r="FA191" s="2"/>
      <c r="FB191" s="2"/>
      <c r="FC191" s="2"/>
      <c r="FD191" s="2"/>
      <c r="FE191" s="2"/>
      <c r="FF191" s="2"/>
      <c r="FG191" s="2"/>
      <c r="FH191" s="2"/>
      <c r="FI191" s="2"/>
      <c r="FJ191" s="2"/>
      <c r="FK191" s="2"/>
      <c r="FL191" s="2"/>
      <c r="FM191" s="2"/>
      <c r="FN191" s="2"/>
      <c r="FO191" s="2"/>
      <c r="FP191" s="2"/>
      <c r="FQ191" s="2">
        <v>0</v>
      </c>
      <c r="FR191" s="2">
        <f t="shared" si="230"/>
        <v>0</v>
      </c>
      <c r="FS191" s="2">
        <v>0</v>
      </c>
      <c r="FT191" s="2"/>
      <c r="FU191" s="2"/>
      <c r="FV191" s="2"/>
      <c r="FW191" s="2"/>
      <c r="FX191" s="2">
        <v>161</v>
      </c>
      <c r="FY191" s="2">
        <v>107</v>
      </c>
      <c r="FZ191" s="2"/>
      <c r="GA191" s="2" t="s">
        <v>6</v>
      </c>
      <c r="GB191" s="2"/>
      <c r="GC191" s="2"/>
      <c r="GD191" s="2">
        <v>0</v>
      </c>
      <c r="GE191" s="2"/>
      <c r="GF191" s="2">
        <v>187581966</v>
      </c>
      <c r="GG191" s="2">
        <v>2</v>
      </c>
      <c r="GH191" s="2">
        <v>1</v>
      </c>
      <c r="GI191" s="2">
        <v>-2</v>
      </c>
      <c r="GJ191" s="2">
        <v>0</v>
      </c>
      <c r="GK191" s="2">
        <f>ROUND(R191*(R12)/100,2)</f>
        <v>1292.48</v>
      </c>
      <c r="GL191" s="2">
        <f t="shared" si="231"/>
        <v>0</v>
      </c>
      <c r="GM191" s="2">
        <f t="shared" si="232"/>
        <v>13653.17</v>
      </c>
      <c r="GN191" s="2">
        <f t="shared" si="233"/>
        <v>13653.17</v>
      </c>
      <c r="GO191" s="2">
        <f t="shared" si="234"/>
        <v>0</v>
      </c>
      <c r="GP191" s="2">
        <f t="shared" si="235"/>
        <v>0</v>
      </c>
      <c r="GQ191" s="2"/>
      <c r="GR191" s="2">
        <v>0</v>
      </c>
      <c r="GS191" s="2">
        <v>3</v>
      </c>
      <c r="GT191" s="2">
        <v>0</v>
      </c>
      <c r="GU191" s="2" t="s">
        <v>6</v>
      </c>
      <c r="GV191" s="2">
        <f t="shared" si="247"/>
        <v>0</v>
      </c>
      <c r="GW191" s="2">
        <v>1</v>
      </c>
      <c r="GX191" s="2">
        <f t="shared" si="237"/>
        <v>0</v>
      </c>
      <c r="GY191" s="2"/>
      <c r="GZ191" s="2"/>
      <c r="HA191" s="2">
        <v>0</v>
      </c>
      <c r="HB191" s="2">
        <v>0</v>
      </c>
      <c r="HC191" s="2">
        <f t="shared" si="238"/>
        <v>0</v>
      </c>
      <c r="HD191" s="2"/>
      <c r="HE191" s="2" t="s">
        <v>6</v>
      </c>
      <c r="HF191" s="2" t="s">
        <v>6</v>
      </c>
      <c r="HG191" s="2"/>
      <c r="HH191" s="2"/>
      <c r="HI191" s="2"/>
      <c r="HJ191" s="2"/>
      <c r="HK191" s="2"/>
      <c r="HL191" s="2"/>
      <c r="HM191" s="2" t="s">
        <v>6</v>
      </c>
      <c r="HN191" s="2" t="s">
        <v>6</v>
      </c>
      <c r="HO191" s="2" t="s">
        <v>6</v>
      </c>
      <c r="HP191" s="2" t="s">
        <v>6</v>
      </c>
      <c r="HQ191" s="2" t="s">
        <v>6</v>
      </c>
      <c r="HR191" s="2"/>
      <c r="HS191" s="2"/>
      <c r="HT191" s="2"/>
      <c r="HU191" s="2"/>
      <c r="HV191" s="2"/>
      <c r="HW191" s="2"/>
      <c r="HX191" s="2"/>
      <c r="HY191" s="2"/>
      <c r="HZ191" s="2"/>
      <c r="IA191" s="2"/>
      <c r="IB191" s="2"/>
      <c r="IC191" s="2"/>
      <c r="ID191" s="2"/>
      <c r="IE191" s="2"/>
      <c r="IF191" s="2"/>
      <c r="IG191" s="2"/>
      <c r="IH191" s="2"/>
      <c r="II191" s="2"/>
      <c r="IJ191" s="2"/>
      <c r="IK191" s="2">
        <v>0</v>
      </c>
      <c r="IL191" s="2"/>
      <c r="IM191" s="2"/>
      <c r="IN191" s="2"/>
      <c r="IO191" s="2"/>
      <c r="IP191" s="2"/>
      <c r="IQ191" s="2"/>
      <c r="IR191" s="2"/>
      <c r="IS191" s="2"/>
      <c r="IT191" s="2"/>
      <c r="IU191" s="2"/>
    </row>
    <row r="192" spans="1:255">
      <c r="A192">
        <v>17</v>
      </c>
      <c r="B192">
        <v>1</v>
      </c>
      <c r="E192" t="s">
        <v>242</v>
      </c>
      <c r="F192" t="s">
        <v>217</v>
      </c>
      <c r="G192" t="s">
        <v>243</v>
      </c>
      <c r="H192" t="s">
        <v>219</v>
      </c>
      <c r="I192">
        <f>ROUND(I188,9)</f>
        <v>15.144</v>
      </c>
      <c r="J192">
        <v>0</v>
      </c>
      <c r="K192">
        <f>ROUND(I188,9)</f>
        <v>15.144</v>
      </c>
      <c r="O192">
        <f t="shared" si="203"/>
        <v>166485.32</v>
      </c>
      <c r="P192">
        <f t="shared" si="204"/>
        <v>14266.46</v>
      </c>
      <c r="Q192">
        <f t="shared" si="239"/>
        <v>113613.44</v>
      </c>
      <c r="R192">
        <f t="shared" si="206"/>
        <v>34468.6</v>
      </c>
      <c r="S192">
        <f t="shared" si="207"/>
        <v>38605.42</v>
      </c>
      <c r="T192">
        <f t="shared" si="208"/>
        <v>0</v>
      </c>
      <c r="U192">
        <f t="shared" si="209"/>
        <v>68.021244719999999</v>
      </c>
      <c r="V192">
        <f t="shared" si="210"/>
        <v>0</v>
      </c>
      <c r="W192">
        <f t="shared" si="211"/>
        <v>0</v>
      </c>
      <c r="X192">
        <f t="shared" si="212"/>
        <v>51731.26</v>
      </c>
      <c r="Y192">
        <f t="shared" si="213"/>
        <v>21232.98</v>
      </c>
      <c r="AA192">
        <v>70322059</v>
      </c>
      <c r="AB192">
        <f t="shared" si="214"/>
        <v>642.35</v>
      </c>
      <c r="AC192">
        <f t="shared" si="240"/>
        <v>57.83</v>
      </c>
      <c r="AD192">
        <f t="shared" si="241"/>
        <v>532.35</v>
      </c>
      <c r="AE192">
        <f t="shared" si="242"/>
        <v>46.58</v>
      </c>
      <c r="AF192">
        <f t="shared" si="243"/>
        <v>52.17</v>
      </c>
      <c r="AG192">
        <f t="shared" si="218"/>
        <v>0</v>
      </c>
      <c r="AH192">
        <f t="shared" si="244"/>
        <v>4.29</v>
      </c>
      <c r="AI192">
        <f t="shared" si="245"/>
        <v>0</v>
      </c>
      <c r="AJ192">
        <f t="shared" si="220"/>
        <v>0</v>
      </c>
      <c r="AK192">
        <v>642.35</v>
      </c>
      <c r="AL192">
        <v>57.83</v>
      </c>
      <c r="AM192">
        <v>532.35</v>
      </c>
      <c r="AN192">
        <v>46.58</v>
      </c>
      <c r="AO192">
        <v>52.17</v>
      </c>
      <c r="AP192">
        <v>0</v>
      </c>
      <c r="AQ192">
        <v>4.29</v>
      </c>
      <c r="AR192">
        <v>0</v>
      </c>
      <c r="AS192">
        <v>0</v>
      </c>
      <c r="AT192">
        <v>134</v>
      </c>
      <c r="AU192">
        <v>55</v>
      </c>
      <c r="AV192">
        <v>1.0469999999999999</v>
      </c>
      <c r="AW192">
        <v>1</v>
      </c>
      <c r="AZ192">
        <v>1</v>
      </c>
      <c r="BA192">
        <v>46.67</v>
      </c>
      <c r="BB192">
        <v>13.46</v>
      </c>
      <c r="BC192">
        <v>16.29</v>
      </c>
      <c r="BD192" t="s">
        <v>6</v>
      </c>
      <c r="BE192" t="s">
        <v>6</v>
      </c>
      <c r="BF192" t="s">
        <v>6</v>
      </c>
      <c r="BG192" t="s">
        <v>6</v>
      </c>
      <c r="BH192">
        <v>0</v>
      </c>
      <c r="BI192">
        <v>1</v>
      </c>
      <c r="BJ192" t="s">
        <v>220</v>
      </c>
      <c r="BM192">
        <v>158</v>
      </c>
      <c r="BN192">
        <v>0</v>
      </c>
      <c r="BO192" t="s">
        <v>217</v>
      </c>
      <c r="BP192">
        <v>1</v>
      </c>
      <c r="BQ192">
        <v>30</v>
      </c>
      <c r="BR192">
        <v>0</v>
      </c>
      <c r="BS192">
        <v>46.67</v>
      </c>
      <c r="BT192">
        <v>1</v>
      </c>
      <c r="BU192">
        <v>1</v>
      </c>
      <c r="BV192">
        <v>1</v>
      </c>
      <c r="BW192">
        <v>1</v>
      </c>
      <c r="BX192">
        <v>1</v>
      </c>
      <c r="BY192" t="s">
        <v>6</v>
      </c>
      <c r="BZ192">
        <v>134</v>
      </c>
      <c r="CA192">
        <v>55</v>
      </c>
      <c r="CB192" t="s">
        <v>6</v>
      </c>
      <c r="CE192">
        <v>30</v>
      </c>
      <c r="CF192">
        <v>0</v>
      </c>
      <c r="CG192">
        <v>0</v>
      </c>
      <c r="CM192">
        <v>0</v>
      </c>
      <c r="CN192" t="s">
        <v>6</v>
      </c>
      <c r="CO192">
        <v>0</v>
      </c>
      <c r="CP192">
        <f t="shared" si="221"/>
        <v>166485.32</v>
      </c>
      <c r="CQ192">
        <f t="shared" si="222"/>
        <v>942.05</v>
      </c>
      <c r="CR192">
        <f t="shared" si="246"/>
        <v>7502.2</v>
      </c>
      <c r="CS192">
        <f t="shared" si="224"/>
        <v>2276.1</v>
      </c>
      <c r="CT192">
        <f t="shared" si="225"/>
        <v>2549.12</v>
      </c>
      <c r="CU192">
        <f t="shared" si="226"/>
        <v>0</v>
      </c>
      <c r="CV192">
        <f t="shared" si="227"/>
        <v>4.4916299999999998</v>
      </c>
      <c r="CW192">
        <f t="shared" si="228"/>
        <v>0</v>
      </c>
      <c r="CX192">
        <f t="shared" si="229"/>
        <v>0</v>
      </c>
      <c r="CY192">
        <f>S192*(BZ192/100)</f>
        <v>51731.262800000004</v>
      </c>
      <c r="CZ192">
        <f>S192*(CA192/100)</f>
        <v>21232.981</v>
      </c>
      <c r="DC192" t="s">
        <v>6</v>
      </c>
      <c r="DD192" t="s">
        <v>6</v>
      </c>
      <c r="DE192" t="s">
        <v>6</v>
      </c>
      <c r="DF192" t="s">
        <v>6</v>
      </c>
      <c r="DG192" t="s">
        <v>6</v>
      </c>
      <c r="DH192" t="s">
        <v>6</v>
      </c>
      <c r="DI192" t="s">
        <v>6</v>
      </c>
      <c r="DJ192" t="s">
        <v>6</v>
      </c>
      <c r="DK192" t="s">
        <v>6</v>
      </c>
      <c r="DL192" t="s">
        <v>6</v>
      </c>
      <c r="DM192" t="s">
        <v>6</v>
      </c>
      <c r="DN192">
        <v>161</v>
      </c>
      <c r="DO192">
        <v>107</v>
      </c>
      <c r="DP192">
        <v>1.0469999999999999</v>
      </c>
      <c r="DQ192">
        <v>1</v>
      </c>
      <c r="DU192">
        <v>1013</v>
      </c>
      <c r="DV192" t="s">
        <v>219</v>
      </c>
      <c r="DW192" t="s">
        <v>219</v>
      </c>
      <c r="DX192">
        <v>1</v>
      </c>
      <c r="DZ192" t="s">
        <v>6</v>
      </c>
      <c r="EA192" t="s">
        <v>6</v>
      </c>
      <c r="EB192" t="s">
        <v>6</v>
      </c>
      <c r="EC192" t="s">
        <v>6</v>
      </c>
      <c r="EE192">
        <v>69252783</v>
      </c>
      <c r="EF192">
        <v>30</v>
      </c>
      <c r="EG192" t="s">
        <v>29</v>
      </c>
      <c r="EH192">
        <v>0</v>
      </c>
      <c r="EI192" t="s">
        <v>6</v>
      </c>
      <c r="EJ192">
        <v>1</v>
      </c>
      <c r="EK192">
        <v>158</v>
      </c>
      <c r="EL192" t="s">
        <v>221</v>
      </c>
      <c r="EM192" t="s">
        <v>222</v>
      </c>
      <c r="EO192" t="s">
        <v>6</v>
      </c>
      <c r="EQ192">
        <v>0</v>
      </c>
      <c r="ER192">
        <v>642.35</v>
      </c>
      <c r="ES192">
        <v>57.83</v>
      </c>
      <c r="ET192">
        <v>532.35</v>
      </c>
      <c r="EU192">
        <v>46.58</v>
      </c>
      <c r="EV192">
        <v>52.17</v>
      </c>
      <c r="EW192">
        <v>4.29</v>
      </c>
      <c r="EX192">
        <v>0</v>
      </c>
      <c r="EY192">
        <v>0</v>
      </c>
      <c r="FQ192">
        <v>0</v>
      </c>
      <c r="FR192">
        <f t="shared" si="230"/>
        <v>0</v>
      </c>
      <c r="FS192">
        <v>0</v>
      </c>
      <c r="FX192">
        <v>161</v>
      </c>
      <c r="FY192">
        <v>107</v>
      </c>
      <c r="GA192" t="s">
        <v>6</v>
      </c>
      <c r="GD192">
        <v>0</v>
      </c>
      <c r="GF192">
        <v>187581966</v>
      </c>
      <c r="GG192">
        <v>2</v>
      </c>
      <c r="GH192">
        <v>1</v>
      </c>
      <c r="GI192">
        <v>2</v>
      </c>
      <c r="GJ192">
        <v>0</v>
      </c>
      <c r="GK192">
        <f>ROUND(R192*(S12)/100,2)</f>
        <v>55149.760000000002</v>
      </c>
      <c r="GL192">
        <f t="shared" si="231"/>
        <v>0</v>
      </c>
      <c r="GM192">
        <f t="shared" si="232"/>
        <v>294599.32</v>
      </c>
      <c r="GN192">
        <f t="shared" si="233"/>
        <v>294599.32</v>
      </c>
      <c r="GO192">
        <f t="shared" si="234"/>
        <v>0</v>
      </c>
      <c r="GP192">
        <f t="shared" si="235"/>
        <v>0</v>
      </c>
      <c r="GR192">
        <v>0</v>
      </c>
      <c r="GS192">
        <v>0</v>
      </c>
      <c r="GT192">
        <v>0</v>
      </c>
      <c r="GU192" t="s">
        <v>6</v>
      </c>
      <c r="GV192">
        <f t="shared" si="247"/>
        <v>0</v>
      </c>
      <c r="GW192">
        <v>1</v>
      </c>
      <c r="GX192">
        <f t="shared" si="237"/>
        <v>0</v>
      </c>
      <c r="HA192">
        <v>0</v>
      </c>
      <c r="HB192">
        <v>0</v>
      </c>
      <c r="HC192">
        <f t="shared" si="238"/>
        <v>0</v>
      </c>
      <c r="HE192" t="s">
        <v>6</v>
      </c>
      <c r="HF192" t="s">
        <v>6</v>
      </c>
      <c r="HM192" t="s">
        <v>6</v>
      </c>
      <c r="HN192" t="s">
        <v>6</v>
      </c>
      <c r="HO192" t="s">
        <v>6</v>
      </c>
      <c r="HP192" t="s">
        <v>6</v>
      </c>
      <c r="HQ192" t="s">
        <v>6</v>
      </c>
      <c r="IK192">
        <v>0</v>
      </c>
    </row>
    <row r="193" spans="1:255">
      <c r="A193" s="2">
        <v>18</v>
      </c>
      <c r="B193" s="2">
        <v>1</v>
      </c>
      <c r="C193" s="2"/>
      <c r="D193" s="2"/>
      <c r="E193" s="2" t="s">
        <v>244</v>
      </c>
      <c r="F193" s="2" t="s">
        <v>239</v>
      </c>
      <c r="G193" s="2" t="s">
        <v>240</v>
      </c>
      <c r="H193" s="2" t="s">
        <v>226</v>
      </c>
      <c r="I193" s="2">
        <f>I191*J193</f>
        <v>36.648479999999999</v>
      </c>
      <c r="J193" s="2">
        <v>2.42</v>
      </c>
      <c r="K193" s="2">
        <v>2.42</v>
      </c>
      <c r="L193" s="2"/>
      <c r="M193" s="2"/>
      <c r="N193" s="2"/>
      <c r="O193" s="2">
        <f t="shared" si="203"/>
        <v>11628.2</v>
      </c>
      <c r="P193" s="2">
        <f t="shared" si="204"/>
        <v>11628.2</v>
      </c>
      <c r="Q193" s="2">
        <f t="shared" si="239"/>
        <v>0</v>
      </c>
      <c r="R193" s="2">
        <f t="shared" si="206"/>
        <v>0</v>
      </c>
      <c r="S193" s="2">
        <f t="shared" si="207"/>
        <v>0</v>
      </c>
      <c r="T193" s="2">
        <f t="shared" si="208"/>
        <v>0</v>
      </c>
      <c r="U193" s="2">
        <f t="shared" si="209"/>
        <v>0</v>
      </c>
      <c r="V193" s="2">
        <f t="shared" si="210"/>
        <v>0</v>
      </c>
      <c r="W193" s="2">
        <f t="shared" si="211"/>
        <v>0</v>
      </c>
      <c r="X193" s="2">
        <f t="shared" si="212"/>
        <v>0</v>
      </c>
      <c r="Y193" s="2">
        <f t="shared" si="213"/>
        <v>0</v>
      </c>
      <c r="Z193" s="2"/>
      <c r="AA193" s="2">
        <v>70322058</v>
      </c>
      <c r="AB193" s="2">
        <f t="shared" si="214"/>
        <v>317.29000000000002</v>
      </c>
      <c r="AC193" s="2">
        <f t="shared" si="240"/>
        <v>317.29000000000002</v>
      </c>
      <c r="AD193" s="2">
        <f t="shared" si="241"/>
        <v>0</v>
      </c>
      <c r="AE193" s="2">
        <f t="shared" si="242"/>
        <v>0</v>
      </c>
      <c r="AF193" s="2">
        <f t="shared" si="243"/>
        <v>0</v>
      </c>
      <c r="AG193" s="2">
        <f t="shared" si="218"/>
        <v>0</v>
      </c>
      <c r="AH193" s="2">
        <f t="shared" si="244"/>
        <v>0</v>
      </c>
      <c r="AI193" s="2">
        <f t="shared" si="245"/>
        <v>0</v>
      </c>
      <c r="AJ193" s="2">
        <f t="shared" si="220"/>
        <v>0</v>
      </c>
      <c r="AK193" s="2">
        <v>317.29000000000002</v>
      </c>
      <c r="AL193" s="2">
        <v>317.29000000000002</v>
      </c>
      <c r="AM193" s="2">
        <v>0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161</v>
      </c>
      <c r="AU193" s="2">
        <v>107</v>
      </c>
      <c r="AV193" s="2">
        <v>1.0469999999999999</v>
      </c>
      <c r="AW193" s="2">
        <v>1</v>
      </c>
      <c r="AX193" s="2"/>
      <c r="AY193" s="2"/>
      <c r="AZ193" s="2">
        <v>1</v>
      </c>
      <c r="BA193" s="2">
        <v>1</v>
      </c>
      <c r="BB193" s="2">
        <v>1</v>
      </c>
      <c r="BC193" s="2">
        <v>1</v>
      </c>
      <c r="BD193" s="2" t="s">
        <v>6</v>
      </c>
      <c r="BE193" s="2" t="s">
        <v>6</v>
      </c>
      <c r="BF193" s="2" t="s">
        <v>6</v>
      </c>
      <c r="BG193" s="2" t="s">
        <v>6</v>
      </c>
      <c r="BH193" s="2">
        <v>3</v>
      </c>
      <c r="BI193" s="2">
        <v>1</v>
      </c>
      <c r="BJ193" s="2" t="s">
        <v>241</v>
      </c>
      <c r="BK193" s="2"/>
      <c r="BL193" s="2"/>
      <c r="BM193" s="2">
        <v>158</v>
      </c>
      <c r="BN193" s="2">
        <v>0</v>
      </c>
      <c r="BO193" s="2" t="s">
        <v>6</v>
      </c>
      <c r="BP193" s="2">
        <v>0</v>
      </c>
      <c r="BQ193" s="2">
        <v>30</v>
      </c>
      <c r="BR193" s="2">
        <v>0</v>
      </c>
      <c r="BS193" s="2">
        <v>1</v>
      </c>
      <c r="BT193" s="2">
        <v>1</v>
      </c>
      <c r="BU193" s="2">
        <v>1</v>
      </c>
      <c r="BV193" s="2">
        <v>1</v>
      </c>
      <c r="BW193" s="2">
        <v>1</v>
      </c>
      <c r="BX193" s="2">
        <v>1</v>
      </c>
      <c r="BY193" s="2" t="s">
        <v>6</v>
      </c>
      <c r="BZ193" s="2">
        <v>161</v>
      </c>
      <c r="CA193" s="2">
        <v>107</v>
      </c>
      <c r="CB193" s="2" t="s">
        <v>6</v>
      </c>
      <c r="CC193" s="2"/>
      <c r="CD193" s="2"/>
      <c r="CE193" s="2">
        <v>30</v>
      </c>
      <c r="CF193" s="2">
        <v>0</v>
      </c>
      <c r="CG193" s="2">
        <v>0</v>
      </c>
      <c r="CH193" s="2"/>
      <c r="CI193" s="2"/>
      <c r="CJ193" s="2"/>
      <c r="CK193" s="2"/>
      <c r="CL193" s="2"/>
      <c r="CM193" s="2">
        <v>0</v>
      </c>
      <c r="CN193" s="2" t="s">
        <v>6</v>
      </c>
      <c r="CO193" s="2">
        <v>0</v>
      </c>
      <c r="CP193" s="2">
        <f t="shared" si="221"/>
        <v>11628.2</v>
      </c>
      <c r="CQ193" s="2">
        <f t="shared" si="222"/>
        <v>317.29000000000002</v>
      </c>
      <c r="CR193" s="2">
        <f t="shared" si="246"/>
        <v>0</v>
      </c>
      <c r="CS193" s="2">
        <f t="shared" si="224"/>
        <v>0</v>
      </c>
      <c r="CT193" s="2">
        <f t="shared" si="225"/>
        <v>0</v>
      </c>
      <c r="CU193" s="2">
        <f t="shared" si="226"/>
        <v>0</v>
      </c>
      <c r="CV193" s="2">
        <f t="shared" si="227"/>
        <v>0</v>
      </c>
      <c r="CW193" s="2">
        <f t="shared" si="228"/>
        <v>0</v>
      </c>
      <c r="CX193" s="2">
        <f t="shared" si="229"/>
        <v>0</v>
      </c>
      <c r="CY193" s="2">
        <f>((S193*BZ193)/100)</f>
        <v>0</v>
      </c>
      <c r="CZ193" s="2">
        <f>((S193*CA193)/100)</f>
        <v>0</v>
      </c>
      <c r="DA193" s="2"/>
      <c r="DB193" s="2"/>
      <c r="DC193" s="2" t="s">
        <v>6</v>
      </c>
      <c r="DD193" s="2" t="s">
        <v>6</v>
      </c>
      <c r="DE193" s="2" t="s">
        <v>6</v>
      </c>
      <c r="DF193" s="2" t="s">
        <v>6</v>
      </c>
      <c r="DG193" s="2" t="s">
        <v>6</v>
      </c>
      <c r="DH193" s="2" t="s">
        <v>6</v>
      </c>
      <c r="DI193" s="2" t="s">
        <v>6</v>
      </c>
      <c r="DJ193" s="2" t="s">
        <v>6</v>
      </c>
      <c r="DK193" s="2" t="s">
        <v>6</v>
      </c>
      <c r="DL193" s="2" t="s">
        <v>6</v>
      </c>
      <c r="DM193" s="2" t="s">
        <v>6</v>
      </c>
      <c r="DN193" s="2">
        <v>0</v>
      </c>
      <c r="DO193" s="2">
        <v>0</v>
      </c>
      <c r="DP193" s="2">
        <v>1</v>
      </c>
      <c r="DQ193" s="2">
        <v>1</v>
      </c>
      <c r="DR193" s="2"/>
      <c r="DS193" s="2"/>
      <c r="DT193" s="2"/>
      <c r="DU193" s="2">
        <v>1009</v>
      </c>
      <c r="DV193" s="2" t="s">
        <v>226</v>
      </c>
      <c r="DW193" s="2" t="s">
        <v>226</v>
      </c>
      <c r="DX193" s="2">
        <v>1000</v>
      </c>
      <c r="DY193" s="2"/>
      <c r="DZ193" s="2" t="s">
        <v>6</v>
      </c>
      <c r="EA193" s="2" t="s">
        <v>6</v>
      </c>
      <c r="EB193" s="2" t="s">
        <v>6</v>
      </c>
      <c r="EC193" s="2" t="s">
        <v>6</v>
      </c>
      <c r="ED193" s="2"/>
      <c r="EE193" s="2">
        <v>69252783</v>
      </c>
      <c r="EF193" s="2">
        <v>30</v>
      </c>
      <c r="EG193" s="2" t="s">
        <v>29</v>
      </c>
      <c r="EH193" s="2">
        <v>0</v>
      </c>
      <c r="EI193" s="2" t="s">
        <v>6</v>
      </c>
      <c r="EJ193" s="2">
        <v>1</v>
      </c>
      <c r="EK193" s="2">
        <v>158</v>
      </c>
      <c r="EL193" s="2" t="s">
        <v>221</v>
      </c>
      <c r="EM193" s="2" t="s">
        <v>222</v>
      </c>
      <c r="EN193" s="2"/>
      <c r="EO193" s="2" t="s">
        <v>6</v>
      </c>
      <c r="EP193" s="2"/>
      <c r="EQ193" s="2">
        <v>0</v>
      </c>
      <c r="ER193" s="2">
        <v>317.29000000000002</v>
      </c>
      <c r="ES193" s="2">
        <v>317.29000000000002</v>
      </c>
      <c r="ET193" s="2">
        <v>0</v>
      </c>
      <c r="EU193" s="2">
        <v>0</v>
      </c>
      <c r="EV193" s="2">
        <v>0</v>
      </c>
      <c r="EW193" s="2">
        <v>0</v>
      </c>
      <c r="EX193" s="2">
        <v>0</v>
      </c>
      <c r="EY193" s="2"/>
      <c r="EZ193" s="2"/>
      <c r="FA193" s="2"/>
      <c r="FB193" s="2"/>
      <c r="FC193" s="2"/>
      <c r="FD193" s="2"/>
      <c r="FE193" s="2"/>
      <c r="FF193" s="2"/>
      <c r="FG193" s="2"/>
      <c r="FH193" s="2"/>
      <c r="FI193" s="2"/>
      <c r="FJ193" s="2"/>
      <c r="FK193" s="2"/>
      <c r="FL193" s="2"/>
      <c r="FM193" s="2"/>
      <c r="FN193" s="2"/>
      <c r="FO193" s="2"/>
      <c r="FP193" s="2"/>
      <c r="FQ193" s="2">
        <v>0</v>
      </c>
      <c r="FR193" s="2">
        <f t="shared" si="230"/>
        <v>0</v>
      </c>
      <c r="FS193" s="2">
        <v>0</v>
      </c>
      <c r="FT193" s="2"/>
      <c r="FU193" s="2"/>
      <c r="FV193" s="2"/>
      <c r="FW193" s="2"/>
      <c r="FX193" s="2">
        <v>161</v>
      </c>
      <c r="FY193" s="2">
        <v>107</v>
      </c>
      <c r="FZ193" s="2"/>
      <c r="GA193" s="2" t="s">
        <v>6</v>
      </c>
      <c r="GB193" s="2"/>
      <c r="GC193" s="2"/>
      <c r="GD193" s="2">
        <v>0</v>
      </c>
      <c r="GE193" s="2"/>
      <c r="GF193" s="2">
        <v>883834222</v>
      </c>
      <c r="GG193" s="2">
        <v>2</v>
      </c>
      <c r="GH193" s="2">
        <v>1</v>
      </c>
      <c r="GI193" s="2">
        <v>-2</v>
      </c>
      <c r="GJ193" s="2">
        <v>0</v>
      </c>
      <c r="GK193" s="2">
        <f>ROUND(R193*(R12)/100,2)</f>
        <v>0</v>
      </c>
      <c r="GL193" s="2">
        <f t="shared" si="231"/>
        <v>0</v>
      </c>
      <c r="GM193" s="2">
        <f t="shared" si="232"/>
        <v>11628.2</v>
      </c>
      <c r="GN193" s="2">
        <f t="shared" si="233"/>
        <v>11628.2</v>
      </c>
      <c r="GO193" s="2">
        <f t="shared" si="234"/>
        <v>0</v>
      </c>
      <c r="GP193" s="2">
        <f t="shared" si="235"/>
        <v>0</v>
      </c>
      <c r="GQ193" s="2"/>
      <c r="GR193" s="2">
        <v>0</v>
      </c>
      <c r="GS193" s="2">
        <v>3</v>
      </c>
      <c r="GT193" s="2">
        <v>0</v>
      </c>
      <c r="GU193" s="2" t="s">
        <v>6</v>
      </c>
      <c r="GV193" s="2">
        <f t="shared" si="247"/>
        <v>0</v>
      </c>
      <c r="GW193" s="2">
        <v>1</v>
      </c>
      <c r="GX193" s="2">
        <f t="shared" si="237"/>
        <v>0</v>
      </c>
      <c r="GY193" s="2"/>
      <c r="GZ193" s="2"/>
      <c r="HA193" s="2">
        <v>0</v>
      </c>
      <c r="HB193" s="2">
        <v>0</v>
      </c>
      <c r="HC193" s="2">
        <f t="shared" si="238"/>
        <v>0</v>
      </c>
      <c r="HD193" s="2"/>
      <c r="HE193" s="2" t="s">
        <v>6</v>
      </c>
      <c r="HF193" s="2" t="s">
        <v>6</v>
      </c>
      <c r="HG193" s="2"/>
      <c r="HH193" s="2"/>
      <c r="HI193" s="2"/>
      <c r="HJ193" s="2"/>
      <c r="HK193" s="2"/>
      <c r="HL193" s="2"/>
      <c r="HM193" s="2" t="s">
        <v>6</v>
      </c>
      <c r="HN193" s="2" t="s">
        <v>6</v>
      </c>
      <c r="HO193" s="2" t="s">
        <v>6</v>
      </c>
      <c r="HP193" s="2" t="s">
        <v>6</v>
      </c>
      <c r="HQ193" s="2" t="s">
        <v>6</v>
      </c>
      <c r="HR193" s="2"/>
      <c r="HS193" s="2"/>
      <c r="HT193" s="2"/>
      <c r="HU193" s="2"/>
      <c r="HV193" s="2"/>
      <c r="HW193" s="2"/>
      <c r="HX193" s="2"/>
      <c r="HY193" s="2"/>
      <c r="HZ193" s="2"/>
      <c r="IA193" s="2"/>
      <c r="IB193" s="2"/>
      <c r="IC193" s="2"/>
      <c r="ID193" s="2"/>
      <c r="IE193" s="2"/>
      <c r="IF193" s="2"/>
      <c r="IG193" s="2"/>
      <c r="IH193" s="2"/>
      <c r="II193" s="2"/>
      <c r="IJ193" s="2"/>
      <c r="IK193" s="2">
        <v>0</v>
      </c>
      <c r="IL193" s="2"/>
      <c r="IM193" s="2"/>
      <c r="IN193" s="2"/>
      <c r="IO193" s="2"/>
      <c r="IP193" s="2"/>
      <c r="IQ193" s="2"/>
      <c r="IR193" s="2"/>
      <c r="IS193" s="2"/>
      <c r="IT193" s="2"/>
      <c r="IU193" s="2"/>
    </row>
    <row r="194" spans="1:255">
      <c r="A194">
        <v>18</v>
      </c>
      <c r="B194">
        <v>1</v>
      </c>
      <c r="E194" t="s">
        <v>244</v>
      </c>
      <c r="F194" t="s">
        <v>239</v>
      </c>
      <c r="G194" t="s">
        <v>240</v>
      </c>
      <c r="H194" t="s">
        <v>226</v>
      </c>
      <c r="I194">
        <f>I192*J194</f>
        <v>36.648479999999999</v>
      </c>
      <c r="J194">
        <v>2.42</v>
      </c>
      <c r="K194">
        <v>2.42</v>
      </c>
      <c r="O194">
        <f t="shared" si="203"/>
        <v>164422.75</v>
      </c>
      <c r="P194">
        <f t="shared" si="204"/>
        <v>164422.75</v>
      </c>
      <c r="Q194">
        <f t="shared" si="239"/>
        <v>0</v>
      </c>
      <c r="R194">
        <f t="shared" si="206"/>
        <v>0</v>
      </c>
      <c r="S194">
        <f t="shared" si="207"/>
        <v>0</v>
      </c>
      <c r="T194">
        <f t="shared" si="208"/>
        <v>0</v>
      </c>
      <c r="U194">
        <f t="shared" si="209"/>
        <v>0</v>
      </c>
      <c r="V194">
        <f t="shared" si="210"/>
        <v>0</v>
      </c>
      <c r="W194">
        <f t="shared" si="211"/>
        <v>0</v>
      </c>
      <c r="X194">
        <f t="shared" si="212"/>
        <v>0</v>
      </c>
      <c r="Y194">
        <f t="shared" si="213"/>
        <v>0</v>
      </c>
      <c r="AA194">
        <v>70322059</v>
      </c>
      <c r="AB194">
        <f t="shared" si="214"/>
        <v>317.29000000000002</v>
      </c>
      <c r="AC194">
        <f t="shared" si="240"/>
        <v>317.29000000000002</v>
      </c>
      <c r="AD194">
        <f t="shared" si="241"/>
        <v>0</v>
      </c>
      <c r="AE194">
        <f t="shared" si="242"/>
        <v>0</v>
      </c>
      <c r="AF194">
        <f t="shared" si="243"/>
        <v>0</v>
      </c>
      <c r="AG194">
        <f t="shared" si="218"/>
        <v>0</v>
      </c>
      <c r="AH194">
        <f t="shared" si="244"/>
        <v>0</v>
      </c>
      <c r="AI194">
        <f t="shared" si="245"/>
        <v>0</v>
      </c>
      <c r="AJ194">
        <f t="shared" si="220"/>
        <v>0</v>
      </c>
      <c r="AK194">
        <v>317.29000000000002</v>
      </c>
      <c r="AL194">
        <v>317.29000000000002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1.0469999999999999</v>
      </c>
      <c r="AW194">
        <v>1</v>
      </c>
      <c r="AZ194">
        <v>1</v>
      </c>
      <c r="BA194">
        <v>1</v>
      </c>
      <c r="BB194">
        <v>1</v>
      </c>
      <c r="BC194">
        <v>14.14</v>
      </c>
      <c r="BD194" t="s">
        <v>6</v>
      </c>
      <c r="BE194" t="s">
        <v>6</v>
      </c>
      <c r="BF194" t="s">
        <v>6</v>
      </c>
      <c r="BG194" t="s">
        <v>6</v>
      </c>
      <c r="BH194">
        <v>3</v>
      </c>
      <c r="BI194">
        <v>1</v>
      </c>
      <c r="BJ194" t="s">
        <v>241</v>
      </c>
      <c r="BM194">
        <v>158</v>
      </c>
      <c r="BN194">
        <v>0</v>
      </c>
      <c r="BO194" t="s">
        <v>239</v>
      </c>
      <c r="BP194">
        <v>1</v>
      </c>
      <c r="BQ194">
        <v>30</v>
      </c>
      <c r="BR194">
        <v>0</v>
      </c>
      <c r="BS194">
        <v>1</v>
      </c>
      <c r="BT194">
        <v>1</v>
      </c>
      <c r="BU194">
        <v>1</v>
      </c>
      <c r="BV194">
        <v>1</v>
      </c>
      <c r="BW194">
        <v>1</v>
      </c>
      <c r="BX194">
        <v>1</v>
      </c>
      <c r="BY194" t="s">
        <v>6</v>
      </c>
      <c r="BZ194">
        <v>0</v>
      </c>
      <c r="CA194">
        <v>0</v>
      </c>
      <c r="CB194" t="s">
        <v>6</v>
      </c>
      <c r="CE194">
        <v>30</v>
      </c>
      <c r="CF194">
        <v>0</v>
      </c>
      <c r="CG194">
        <v>0</v>
      </c>
      <c r="CM194">
        <v>0</v>
      </c>
      <c r="CN194" t="s">
        <v>6</v>
      </c>
      <c r="CO194">
        <v>0</v>
      </c>
      <c r="CP194">
        <f t="shared" si="221"/>
        <v>164422.75</v>
      </c>
      <c r="CQ194">
        <f t="shared" si="222"/>
        <v>4486.4799999999996</v>
      </c>
      <c r="CR194">
        <f t="shared" si="246"/>
        <v>0</v>
      </c>
      <c r="CS194">
        <f t="shared" si="224"/>
        <v>0</v>
      </c>
      <c r="CT194">
        <f t="shared" si="225"/>
        <v>0</v>
      </c>
      <c r="CU194">
        <f t="shared" si="226"/>
        <v>0</v>
      </c>
      <c r="CV194">
        <f t="shared" si="227"/>
        <v>0</v>
      </c>
      <c r="CW194">
        <f t="shared" si="228"/>
        <v>0</v>
      </c>
      <c r="CX194">
        <f t="shared" si="229"/>
        <v>0</v>
      </c>
      <c r="CY194">
        <f>S194*(BZ194/100)</f>
        <v>0</v>
      </c>
      <c r="CZ194">
        <f>S194*(CA194/100)</f>
        <v>0</v>
      </c>
      <c r="DC194" t="s">
        <v>6</v>
      </c>
      <c r="DD194" t="s">
        <v>6</v>
      </c>
      <c r="DE194" t="s">
        <v>6</v>
      </c>
      <c r="DF194" t="s">
        <v>6</v>
      </c>
      <c r="DG194" t="s">
        <v>6</v>
      </c>
      <c r="DH194" t="s">
        <v>6</v>
      </c>
      <c r="DI194" t="s">
        <v>6</v>
      </c>
      <c r="DJ194" t="s">
        <v>6</v>
      </c>
      <c r="DK194" t="s">
        <v>6</v>
      </c>
      <c r="DL194" t="s">
        <v>6</v>
      </c>
      <c r="DM194" t="s">
        <v>6</v>
      </c>
      <c r="DN194">
        <v>161</v>
      </c>
      <c r="DO194">
        <v>107</v>
      </c>
      <c r="DP194">
        <v>1.0469999999999999</v>
      </c>
      <c r="DQ194">
        <v>1</v>
      </c>
      <c r="DU194">
        <v>1009</v>
      </c>
      <c r="DV194" t="s">
        <v>226</v>
      </c>
      <c r="DW194" t="s">
        <v>226</v>
      </c>
      <c r="DX194">
        <v>1000</v>
      </c>
      <c r="DZ194" t="s">
        <v>6</v>
      </c>
      <c r="EA194" t="s">
        <v>6</v>
      </c>
      <c r="EB194" t="s">
        <v>6</v>
      </c>
      <c r="EC194" t="s">
        <v>6</v>
      </c>
      <c r="EE194">
        <v>69252783</v>
      </c>
      <c r="EF194">
        <v>30</v>
      </c>
      <c r="EG194" t="s">
        <v>29</v>
      </c>
      <c r="EH194">
        <v>0</v>
      </c>
      <c r="EI194" t="s">
        <v>6</v>
      </c>
      <c r="EJ194">
        <v>1</v>
      </c>
      <c r="EK194">
        <v>158</v>
      </c>
      <c r="EL194" t="s">
        <v>221</v>
      </c>
      <c r="EM194" t="s">
        <v>222</v>
      </c>
      <c r="EO194" t="s">
        <v>6</v>
      </c>
      <c r="EQ194">
        <v>0</v>
      </c>
      <c r="ER194">
        <v>317.29000000000002</v>
      </c>
      <c r="ES194">
        <v>317.29000000000002</v>
      </c>
      <c r="ET194">
        <v>0</v>
      </c>
      <c r="EU194">
        <v>0</v>
      </c>
      <c r="EV194">
        <v>0</v>
      </c>
      <c r="EW194">
        <v>0</v>
      </c>
      <c r="EX194">
        <v>0</v>
      </c>
      <c r="FQ194">
        <v>0</v>
      </c>
      <c r="FR194">
        <f t="shared" si="230"/>
        <v>0</v>
      </c>
      <c r="FS194">
        <v>0</v>
      </c>
      <c r="FX194">
        <v>161</v>
      </c>
      <c r="FY194">
        <v>107</v>
      </c>
      <c r="GA194" t="s">
        <v>6</v>
      </c>
      <c r="GD194">
        <v>0</v>
      </c>
      <c r="GF194">
        <v>883834222</v>
      </c>
      <c r="GG194">
        <v>2</v>
      </c>
      <c r="GH194">
        <v>1</v>
      </c>
      <c r="GI194">
        <v>2</v>
      </c>
      <c r="GJ194">
        <v>0</v>
      </c>
      <c r="GK194">
        <f>ROUND(R194*(S12)/100,2)</f>
        <v>0</v>
      </c>
      <c r="GL194">
        <f t="shared" si="231"/>
        <v>0</v>
      </c>
      <c r="GM194">
        <f t="shared" si="232"/>
        <v>164422.75</v>
      </c>
      <c r="GN194">
        <f t="shared" si="233"/>
        <v>164422.75</v>
      </c>
      <c r="GO194">
        <f t="shared" si="234"/>
        <v>0</v>
      </c>
      <c r="GP194">
        <f t="shared" si="235"/>
        <v>0</v>
      </c>
      <c r="GR194">
        <v>0</v>
      </c>
      <c r="GS194">
        <v>0</v>
      </c>
      <c r="GT194">
        <v>0</v>
      </c>
      <c r="GU194" t="s">
        <v>6</v>
      </c>
      <c r="GV194">
        <f t="shared" si="247"/>
        <v>0</v>
      </c>
      <c r="GW194">
        <v>1</v>
      </c>
      <c r="GX194">
        <f t="shared" si="237"/>
        <v>0</v>
      </c>
      <c r="HA194">
        <v>0</v>
      </c>
      <c r="HB194">
        <v>0</v>
      </c>
      <c r="HC194">
        <f t="shared" si="238"/>
        <v>0</v>
      </c>
      <c r="HE194" t="s">
        <v>6</v>
      </c>
      <c r="HF194" t="s">
        <v>6</v>
      </c>
      <c r="HM194" t="s">
        <v>6</v>
      </c>
      <c r="HN194" t="s">
        <v>6</v>
      </c>
      <c r="HO194" t="s">
        <v>6</v>
      </c>
      <c r="HP194" t="s">
        <v>6</v>
      </c>
      <c r="HQ194" t="s">
        <v>6</v>
      </c>
      <c r="IK194">
        <v>0</v>
      </c>
    </row>
    <row r="195" spans="1:255">
      <c r="A195" s="2">
        <v>19</v>
      </c>
      <c r="B195" s="2">
        <v>1</v>
      </c>
      <c r="C195" s="2"/>
      <c r="D195" s="2"/>
      <c r="E195" s="2"/>
      <c r="F195" s="2" t="s">
        <v>6</v>
      </c>
      <c r="G195" s="2" t="s">
        <v>245</v>
      </c>
      <c r="H195" s="2" t="s">
        <v>6</v>
      </c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>
        <v>1</v>
      </c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  <c r="ET195" s="2"/>
      <c r="EU195" s="2"/>
      <c r="EV195" s="2"/>
      <c r="EW195" s="2"/>
      <c r="EX195" s="2"/>
      <c r="EY195" s="2"/>
      <c r="EZ195" s="2"/>
      <c r="FA195" s="2"/>
      <c r="FB195" s="2"/>
      <c r="FC195" s="2"/>
      <c r="FD195" s="2"/>
      <c r="FE195" s="2"/>
      <c r="FF195" s="2"/>
      <c r="FG195" s="2"/>
      <c r="FH195" s="2"/>
      <c r="FI195" s="2"/>
      <c r="FJ195" s="2"/>
      <c r="FK195" s="2"/>
      <c r="FL195" s="2"/>
      <c r="FM195" s="2"/>
      <c r="FN195" s="2"/>
      <c r="FO195" s="2"/>
      <c r="FP195" s="2"/>
      <c r="FQ195" s="2"/>
      <c r="FR195" s="2"/>
      <c r="FS195" s="2"/>
      <c r="FT195" s="2"/>
      <c r="FU195" s="2"/>
      <c r="FV195" s="2"/>
      <c r="FW195" s="2"/>
      <c r="FX195" s="2"/>
      <c r="FY195" s="2"/>
      <c r="FZ195" s="2"/>
      <c r="GA195" s="2"/>
      <c r="GB195" s="2"/>
      <c r="GC195" s="2"/>
      <c r="GD195" s="2"/>
      <c r="GE195" s="2"/>
      <c r="GF195" s="2"/>
      <c r="GG195" s="2"/>
      <c r="GH195" s="2"/>
      <c r="GI195" s="2"/>
      <c r="GJ195" s="2"/>
      <c r="GK195" s="2"/>
      <c r="GL195" s="2"/>
      <c r="GM195" s="2"/>
      <c r="GN195" s="2"/>
      <c r="GO195" s="2"/>
      <c r="GP195" s="2"/>
      <c r="GQ195" s="2"/>
      <c r="GR195" s="2"/>
      <c r="GS195" s="2"/>
      <c r="GT195" s="2"/>
      <c r="GU195" s="2"/>
      <c r="GV195" s="2"/>
      <c r="GW195" s="2"/>
      <c r="GX195" s="2"/>
      <c r="GY195" s="2"/>
      <c r="GZ195" s="2"/>
      <c r="HA195" s="2"/>
      <c r="HB195" s="2"/>
      <c r="HC195" s="2"/>
      <c r="HD195" s="2"/>
      <c r="HE195" s="2"/>
      <c r="HF195" s="2"/>
      <c r="HG195" s="2"/>
      <c r="HH195" s="2"/>
      <c r="HI195" s="2"/>
      <c r="HJ195" s="2"/>
      <c r="HK195" s="2"/>
      <c r="HL195" s="2"/>
      <c r="HM195" s="2"/>
      <c r="HN195" s="2"/>
      <c r="HO195" s="2"/>
      <c r="HP195" s="2"/>
      <c r="HQ195" s="2"/>
      <c r="HR195" s="2"/>
      <c r="HS195" s="2"/>
      <c r="HT195" s="2"/>
      <c r="HU195" s="2"/>
      <c r="HV195" s="2"/>
      <c r="HW195" s="2"/>
      <c r="HX195" s="2"/>
      <c r="HY195" s="2"/>
      <c r="HZ195" s="2"/>
      <c r="IA195" s="2"/>
      <c r="IB195" s="2"/>
      <c r="IC195" s="2"/>
      <c r="ID195" s="2"/>
      <c r="IE195" s="2"/>
      <c r="IF195" s="2"/>
      <c r="IG195" s="2"/>
      <c r="IH195" s="2"/>
      <c r="II195" s="2"/>
      <c r="IJ195" s="2"/>
      <c r="IK195" s="2">
        <v>0</v>
      </c>
      <c r="IL195" s="2"/>
      <c r="IM195" s="2"/>
      <c r="IN195" s="2"/>
      <c r="IO195" s="2"/>
      <c r="IP195" s="2"/>
      <c r="IQ195" s="2"/>
      <c r="IR195" s="2"/>
      <c r="IS195" s="2"/>
      <c r="IT195" s="2"/>
      <c r="IU195" s="2"/>
    </row>
    <row r="196" spans="1:255">
      <c r="A196" s="2">
        <v>17</v>
      </c>
      <c r="B196" s="2">
        <v>1</v>
      </c>
      <c r="C196" s="2"/>
      <c r="D196" s="2"/>
      <c r="E196" s="2" t="s">
        <v>246</v>
      </c>
      <c r="F196" s="2" t="s">
        <v>247</v>
      </c>
      <c r="G196" s="2" t="s">
        <v>248</v>
      </c>
      <c r="H196" s="2" t="s">
        <v>27</v>
      </c>
      <c r="I196" s="2">
        <f>ROUND(5679/100,9)</f>
        <v>56.79</v>
      </c>
      <c r="J196" s="2">
        <v>0</v>
      </c>
      <c r="K196" s="2">
        <f>ROUND(5679/100,9)</f>
        <v>56.79</v>
      </c>
      <c r="L196" s="2"/>
      <c r="M196" s="2"/>
      <c r="N196" s="2"/>
      <c r="O196" s="2">
        <f t="shared" ref="O196:O209" si="248">ROUND(CP196,2)</f>
        <v>27419.919999999998</v>
      </c>
      <c r="P196" s="2">
        <f t="shared" ref="P196:P209" si="249">ROUND((ROUND((AC196*AW196*I196),2)*BC196),2)</f>
        <v>7905.74</v>
      </c>
      <c r="Q196" s="2">
        <f t="shared" ref="Q196:Q209" si="250">(ROUND((ROUND(((ET196)*AV196*I196),2)*BB196),2)+ROUND((ROUND(((AE196-(EU196))*AV196*I196),2)*BS196),2))</f>
        <v>18986.599999999999</v>
      </c>
      <c r="R196" s="2">
        <f t="shared" ref="R196:R209" si="251">ROUND((ROUND((AE196*AV196*I196),2)*BS196),2)</f>
        <v>645.13</v>
      </c>
      <c r="S196" s="2">
        <f t="shared" ref="S196:S209" si="252">ROUND((ROUND((AF196*AV196*I196),2)*BA196),2)</f>
        <v>527.58000000000004</v>
      </c>
      <c r="T196" s="2">
        <f t="shared" ref="T196:T209" si="253">ROUND(CU196*I196,2)</f>
        <v>0</v>
      </c>
      <c r="U196" s="2">
        <f t="shared" ref="U196:U209" si="254">CV196*I196</f>
        <v>44.864100000000001</v>
      </c>
      <c r="V196" s="2">
        <f t="shared" ref="V196:V209" si="255">CW196*I196</f>
        <v>0</v>
      </c>
      <c r="W196" s="2">
        <f t="shared" ref="W196:W209" si="256">ROUND(CX196*I196,2)</f>
        <v>0</v>
      </c>
      <c r="X196" s="2">
        <f t="shared" ref="X196:X209" si="257">ROUND(CY196,2)</f>
        <v>738.61</v>
      </c>
      <c r="Y196" s="2">
        <f t="shared" ref="Y196:Y209" si="258">ROUND(CZ196,2)</f>
        <v>416.79</v>
      </c>
      <c r="Z196" s="2"/>
      <c r="AA196" s="2">
        <v>70322058</v>
      </c>
      <c r="AB196" s="2">
        <f t="shared" ref="AB196:AB209" si="259">ROUND((AC196+AD196+AF196),6)</f>
        <v>482.83</v>
      </c>
      <c r="AC196" s="2">
        <f t="shared" ref="AC196:AC209" si="260">ROUND((ES196),6)</f>
        <v>139.21</v>
      </c>
      <c r="AD196" s="2">
        <f t="shared" ref="AD196:AD209" si="261">ROUND((((ET196)-(EU196))+AE196),6)</f>
        <v>334.33</v>
      </c>
      <c r="AE196" s="2">
        <f t="shared" ref="AE196:AE209" si="262">ROUND((EU196),6)</f>
        <v>11.36</v>
      </c>
      <c r="AF196" s="2">
        <f t="shared" ref="AF196:AF209" si="263">ROUND((EV196),6)</f>
        <v>9.2899999999999991</v>
      </c>
      <c r="AG196" s="2">
        <f t="shared" ref="AG196:AG209" si="264">ROUND((AP196),6)</f>
        <v>0</v>
      </c>
      <c r="AH196" s="2">
        <f t="shared" ref="AH196:AH209" si="265">(EW196)</f>
        <v>0.79</v>
      </c>
      <c r="AI196" s="2">
        <f t="shared" ref="AI196:AI209" si="266">(EX196)</f>
        <v>0</v>
      </c>
      <c r="AJ196" s="2">
        <f t="shared" ref="AJ196:AJ209" si="267">(AS196)</f>
        <v>0</v>
      </c>
      <c r="AK196" s="2">
        <v>482.83</v>
      </c>
      <c r="AL196" s="2">
        <v>139.21</v>
      </c>
      <c r="AM196" s="2">
        <v>334.33</v>
      </c>
      <c r="AN196" s="2">
        <v>11.36</v>
      </c>
      <c r="AO196" s="2">
        <v>9.2899999999999991</v>
      </c>
      <c r="AP196" s="2">
        <v>0</v>
      </c>
      <c r="AQ196" s="2">
        <v>0.79</v>
      </c>
      <c r="AR196" s="2">
        <v>0</v>
      </c>
      <c r="AS196" s="2">
        <v>0</v>
      </c>
      <c r="AT196" s="2">
        <v>140</v>
      </c>
      <c r="AU196" s="2">
        <v>79</v>
      </c>
      <c r="AV196" s="2">
        <v>1</v>
      </c>
      <c r="AW196" s="2">
        <v>1</v>
      </c>
      <c r="AX196" s="2"/>
      <c r="AY196" s="2"/>
      <c r="AZ196" s="2">
        <v>1</v>
      </c>
      <c r="BA196" s="2">
        <v>1</v>
      </c>
      <c r="BB196" s="2">
        <v>1</v>
      </c>
      <c r="BC196" s="2">
        <v>1</v>
      </c>
      <c r="BD196" s="2" t="s">
        <v>6</v>
      </c>
      <c r="BE196" s="2" t="s">
        <v>6</v>
      </c>
      <c r="BF196" s="2" t="s">
        <v>6</v>
      </c>
      <c r="BG196" s="2" t="s">
        <v>6</v>
      </c>
      <c r="BH196" s="2">
        <v>0</v>
      </c>
      <c r="BI196" s="2">
        <v>1</v>
      </c>
      <c r="BJ196" s="2" t="s">
        <v>249</v>
      </c>
      <c r="BK196" s="2"/>
      <c r="BL196" s="2"/>
      <c r="BM196" s="2">
        <v>1729</v>
      </c>
      <c r="BN196" s="2">
        <v>0</v>
      </c>
      <c r="BO196" s="2" t="s">
        <v>6</v>
      </c>
      <c r="BP196" s="2">
        <v>0</v>
      </c>
      <c r="BQ196" s="2">
        <v>60</v>
      </c>
      <c r="BR196" s="2">
        <v>0</v>
      </c>
      <c r="BS196" s="2">
        <v>1</v>
      </c>
      <c r="BT196" s="2">
        <v>1</v>
      </c>
      <c r="BU196" s="2">
        <v>1</v>
      </c>
      <c r="BV196" s="2">
        <v>1</v>
      </c>
      <c r="BW196" s="2">
        <v>1</v>
      </c>
      <c r="BX196" s="2">
        <v>1</v>
      </c>
      <c r="BY196" s="2" t="s">
        <v>6</v>
      </c>
      <c r="BZ196" s="2">
        <v>140</v>
      </c>
      <c r="CA196" s="2">
        <v>79</v>
      </c>
      <c r="CB196" s="2" t="s">
        <v>6</v>
      </c>
      <c r="CC196" s="2"/>
      <c r="CD196" s="2"/>
      <c r="CE196" s="2">
        <v>30</v>
      </c>
      <c r="CF196" s="2">
        <v>0</v>
      </c>
      <c r="CG196" s="2">
        <v>0</v>
      </c>
      <c r="CH196" s="2"/>
      <c r="CI196" s="2"/>
      <c r="CJ196" s="2"/>
      <c r="CK196" s="2"/>
      <c r="CL196" s="2"/>
      <c r="CM196" s="2">
        <v>0</v>
      </c>
      <c r="CN196" s="2" t="s">
        <v>6</v>
      </c>
      <c r="CO196" s="2">
        <v>0</v>
      </c>
      <c r="CP196" s="2">
        <f t="shared" ref="CP196:CP209" si="268">(P196+Q196+S196)</f>
        <v>27419.919999999998</v>
      </c>
      <c r="CQ196" s="2">
        <f t="shared" ref="CQ196:CQ209" si="269">ROUND((ROUND((AC196*AW196*1),2)*BC196),2)</f>
        <v>139.21</v>
      </c>
      <c r="CR196" s="2">
        <f t="shared" ref="CR196:CR209" si="270">(ROUND((ROUND(((ET196)*AV196*1),2)*BB196),2)+ROUND((ROUND(((AE196-(EU196))*AV196*1),2)*BS196),2))</f>
        <v>334.33</v>
      </c>
      <c r="CS196" s="2">
        <f t="shared" ref="CS196:CS209" si="271">ROUND((ROUND((AE196*AV196*1),2)*BS196),2)</f>
        <v>11.36</v>
      </c>
      <c r="CT196" s="2">
        <f t="shared" ref="CT196:CT209" si="272">ROUND((ROUND((AF196*AV196*1),2)*BA196),2)</f>
        <v>9.2899999999999991</v>
      </c>
      <c r="CU196" s="2">
        <f t="shared" ref="CU196:CU209" si="273">AG196</f>
        <v>0</v>
      </c>
      <c r="CV196" s="2">
        <f t="shared" ref="CV196:CV209" si="274">(AH196*AV196)</f>
        <v>0.79</v>
      </c>
      <c r="CW196" s="2">
        <f t="shared" ref="CW196:CW209" si="275">AI196</f>
        <v>0</v>
      </c>
      <c r="CX196" s="2">
        <f t="shared" ref="CX196:CX209" si="276">AJ196</f>
        <v>0</v>
      </c>
      <c r="CY196" s="2">
        <f>((S196*BZ196)/100)</f>
        <v>738.61200000000008</v>
      </c>
      <c r="CZ196" s="2">
        <f>((S196*CA196)/100)</f>
        <v>416.78820000000002</v>
      </c>
      <c r="DA196" s="2"/>
      <c r="DB196" s="2"/>
      <c r="DC196" s="2" t="s">
        <v>6</v>
      </c>
      <c r="DD196" s="2" t="s">
        <v>6</v>
      </c>
      <c r="DE196" s="2" t="s">
        <v>6</v>
      </c>
      <c r="DF196" s="2" t="s">
        <v>6</v>
      </c>
      <c r="DG196" s="2" t="s">
        <v>6</v>
      </c>
      <c r="DH196" s="2" t="s">
        <v>6</v>
      </c>
      <c r="DI196" s="2" t="s">
        <v>6</v>
      </c>
      <c r="DJ196" s="2" t="s">
        <v>6</v>
      </c>
      <c r="DK196" s="2" t="s">
        <v>6</v>
      </c>
      <c r="DL196" s="2" t="s">
        <v>6</v>
      </c>
      <c r="DM196" s="2" t="s">
        <v>6</v>
      </c>
      <c r="DN196" s="2">
        <v>0</v>
      </c>
      <c r="DO196" s="2">
        <v>0</v>
      </c>
      <c r="DP196" s="2">
        <v>1</v>
      </c>
      <c r="DQ196" s="2">
        <v>1</v>
      </c>
      <c r="DR196" s="2"/>
      <c r="DS196" s="2"/>
      <c r="DT196" s="2"/>
      <c r="DU196" s="2">
        <v>1005</v>
      </c>
      <c r="DV196" s="2" t="s">
        <v>27</v>
      </c>
      <c r="DW196" s="2" t="s">
        <v>27</v>
      </c>
      <c r="DX196" s="2">
        <v>100</v>
      </c>
      <c r="DY196" s="2"/>
      <c r="DZ196" s="2" t="s">
        <v>6</v>
      </c>
      <c r="EA196" s="2" t="s">
        <v>6</v>
      </c>
      <c r="EB196" s="2" t="s">
        <v>6</v>
      </c>
      <c r="EC196" s="2" t="s">
        <v>6</v>
      </c>
      <c r="ED196" s="2"/>
      <c r="EE196" s="2">
        <v>69254354</v>
      </c>
      <c r="EF196" s="2">
        <v>60</v>
      </c>
      <c r="EG196" s="2" t="s">
        <v>127</v>
      </c>
      <c r="EH196" s="2">
        <v>0</v>
      </c>
      <c r="EI196" s="2" t="s">
        <v>6</v>
      </c>
      <c r="EJ196" s="2">
        <v>1</v>
      </c>
      <c r="EK196" s="2">
        <v>1729</v>
      </c>
      <c r="EL196" s="2" t="s">
        <v>250</v>
      </c>
      <c r="EM196" s="2" t="s">
        <v>251</v>
      </c>
      <c r="EN196" s="2"/>
      <c r="EO196" s="2" t="s">
        <v>6</v>
      </c>
      <c r="EP196" s="2"/>
      <c r="EQ196" s="2">
        <v>0</v>
      </c>
      <c r="ER196" s="2">
        <v>482.83</v>
      </c>
      <c r="ES196" s="2">
        <v>139.21</v>
      </c>
      <c r="ET196" s="2">
        <v>334.33</v>
      </c>
      <c r="EU196" s="2">
        <v>11.36</v>
      </c>
      <c r="EV196" s="2">
        <v>9.2899999999999991</v>
      </c>
      <c r="EW196" s="2">
        <v>0.79</v>
      </c>
      <c r="EX196" s="2">
        <v>0</v>
      </c>
      <c r="EY196" s="2">
        <v>0</v>
      </c>
      <c r="EZ196" s="2"/>
      <c r="FA196" s="2"/>
      <c r="FB196" s="2"/>
      <c r="FC196" s="2"/>
      <c r="FD196" s="2"/>
      <c r="FE196" s="2"/>
      <c r="FF196" s="2"/>
      <c r="FG196" s="2"/>
      <c r="FH196" s="2"/>
      <c r="FI196" s="2"/>
      <c r="FJ196" s="2"/>
      <c r="FK196" s="2"/>
      <c r="FL196" s="2"/>
      <c r="FM196" s="2"/>
      <c r="FN196" s="2"/>
      <c r="FO196" s="2"/>
      <c r="FP196" s="2"/>
      <c r="FQ196" s="2">
        <v>0</v>
      </c>
      <c r="FR196" s="2">
        <f t="shared" ref="FR196:FR209" si="277">ROUND(IF(BI196=3,GM196,0),2)</f>
        <v>0</v>
      </c>
      <c r="FS196" s="2">
        <v>0</v>
      </c>
      <c r="FT196" s="2"/>
      <c r="FU196" s="2"/>
      <c r="FV196" s="2"/>
      <c r="FW196" s="2"/>
      <c r="FX196" s="2">
        <v>140</v>
      </c>
      <c r="FY196" s="2">
        <v>79</v>
      </c>
      <c r="FZ196" s="2"/>
      <c r="GA196" s="2" t="s">
        <v>6</v>
      </c>
      <c r="GB196" s="2"/>
      <c r="GC196" s="2"/>
      <c r="GD196" s="2">
        <v>0</v>
      </c>
      <c r="GE196" s="2"/>
      <c r="GF196" s="2">
        <v>-2122895393</v>
      </c>
      <c r="GG196" s="2">
        <v>2</v>
      </c>
      <c r="GH196" s="2">
        <v>1</v>
      </c>
      <c r="GI196" s="2">
        <v>-2</v>
      </c>
      <c r="GJ196" s="2">
        <v>0</v>
      </c>
      <c r="GK196" s="2">
        <f>ROUND(R196*(R12)/100,2)</f>
        <v>1128.98</v>
      </c>
      <c r="GL196" s="2">
        <f t="shared" ref="GL196:GL209" si="278">ROUND(IF(AND(BH196=3,BI196=3,FS196&lt;&gt;0),P196,0),2)</f>
        <v>0</v>
      </c>
      <c r="GM196" s="2">
        <f t="shared" ref="GM196:GM209" si="279">ROUND(O196+X196+Y196+GK196,2)+GX196</f>
        <v>29704.3</v>
      </c>
      <c r="GN196" s="2">
        <f t="shared" ref="GN196:GN209" si="280">IF(OR(BI196=0,BI196=1),GM196-GX196,0)</f>
        <v>29704.3</v>
      </c>
      <c r="GO196" s="2">
        <f t="shared" ref="GO196:GO209" si="281">IF(BI196=2,GM196-GX196,0)</f>
        <v>0</v>
      </c>
      <c r="GP196" s="2">
        <f t="shared" ref="GP196:GP209" si="282">IF(BI196=4,GM196-GX196,0)</f>
        <v>0</v>
      </c>
      <c r="GQ196" s="2"/>
      <c r="GR196" s="2">
        <v>0</v>
      </c>
      <c r="GS196" s="2">
        <v>3</v>
      </c>
      <c r="GT196" s="2">
        <v>0</v>
      </c>
      <c r="GU196" s="2" t="s">
        <v>6</v>
      </c>
      <c r="GV196" s="2">
        <f t="shared" ref="GV196:GV209" si="283">ROUND((GT196),6)</f>
        <v>0</v>
      </c>
      <c r="GW196" s="2">
        <v>1</v>
      </c>
      <c r="GX196" s="2">
        <f t="shared" ref="GX196:GX209" si="284">ROUND(HC196*I196,2)</f>
        <v>0</v>
      </c>
      <c r="GY196" s="2"/>
      <c r="GZ196" s="2"/>
      <c r="HA196" s="2">
        <v>0</v>
      </c>
      <c r="HB196" s="2">
        <v>0</v>
      </c>
      <c r="HC196" s="2">
        <f t="shared" ref="HC196:HC209" si="285">GV196*GW196</f>
        <v>0</v>
      </c>
      <c r="HD196" s="2"/>
      <c r="HE196" s="2" t="s">
        <v>6</v>
      </c>
      <c r="HF196" s="2" t="s">
        <v>6</v>
      </c>
      <c r="HG196" s="2"/>
      <c r="HH196" s="2"/>
      <c r="HI196" s="2"/>
      <c r="HJ196" s="2"/>
      <c r="HK196" s="2"/>
      <c r="HL196" s="2"/>
      <c r="HM196" s="2" t="s">
        <v>6</v>
      </c>
      <c r="HN196" s="2" t="s">
        <v>6</v>
      </c>
      <c r="HO196" s="2" t="s">
        <v>6</v>
      </c>
      <c r="HP196" s="2" t="s">
        <v>6</v>
      </c>
      <c r="HQ196" s="2" t="s">
        <v>6</v>
      </c>
      <c r="HR196" s="2"/>
      <c r="HS196" s="2"/>
      <c r="HT196" s="2"/>
      <c r="HU196" s="2"/>
      <c r="HV196" s="2"/>
      <c r="HW196" s="2"/>
      <c r="HX196" s="2"/>
      <c r="HY196" s="2"/>
      <c r="HZ196" s="2"/>
      <c r="IA196" s="2"/>
      <c r="IB196" s="2"/>
      <c r="IC196" s="2"/>
      <c r="ID196" s="2"/>
      <c r="IE196" s="2"/>
      <c r="IF196" s="2"/>
      <c r="IG196" s="2"/>
      <c r="IH196" s="2"/>
      <c r="II196" s="2"/>
      <c r="IJ196" s="2"/>
      <c r="IK196" s="2">
        <v>0</v>
      </c>
      <c r="IL196" s="2"/>
      <c r="IM196" s="2"/>
      <c r="IN196" s="2"/>
      <c r="IO196" s="2"/>
      <c r="IP196" s="2"/>
      <c r="IQ196" s="2"/>
      <c r="IR196" s="2"/>
      <c r="IS196" s="2"/>
      <c r="IT196" s="2"/>
      <c r="IU196" s="2"/>
    </row>
    <row r="197" spans="1:255">
      <c r="A197">
        <v>17</v>
      </c>
      <c r="B197">
        <v>1</v>
      </c>
      <c r="E197" t="s">
        <v>246</v>
      </c>
      <c r="F197" t="s">
        <v>247</v>
      </c>
      <c r="G197" t="s">
        <v>248</v>
      </c>
      <c r="H197" t="s">
        <v>27</v>
      </c>
      <c r="I197">
        <f>ROUND(5679/100,9)</f>
        <v>56.79</v>
      </c>
      <c r="J197">
        <v>0</v>
      </c>
      <c r="K197">
        <f>ROUND(5679/100,9)</f>
        <v>56.79</v>
      </c>
      <c r="O197">
        <f t="shared" si="248"/>
        <v>270699.73</v>
      </c>
      <c r="P197">
        <f t="shared" si="249"/>
        <v>30199.93</v>
      </c>
      <c r="Q197">
        <f t="shared" si="250"/>
        <v>215877.64</v>
      </c>
      <c r="R197">
        <f t="shared" si="251"/>
        <v>30108.22</v>
      </c>
      <c r="S197">
        <f t="shared" si="252"/>
        <v>24622.16</v>
      </c>
      <c r="T197">
        <f t="shared" si="253"/>
        <v>0</v>
      </c>
      <c r="U197">
        <f t="shared" si="254"/>
        <v>44.864100000000001</v>
      </c>
      <c r="V197">
        <f t="shared" si="255"/>
        <v>0</v>
      </c>
      <c r="W197">
        <f t="shared" si="256"/>
        <v>0</v>
      </c>
      <c r="X197">
        <f t="shared" si="257"/>
        <v>28315.48</v>
      </c>
      <c r="Y197">
        <f t="shared" si="258"/>
        <v>10095.09</v>
      </c>
      <c r="AA197">
        <v>70322059</v>
      </c>
      <c r="AB197">
        <f t="shared" si="259"/>
        <v>482.83</v>
      </c>
      <c r="AC197">
        <f t="shared" si="260"/>
        <v>139.21</v>
      </c>
      <c r="AD197">
        <f t="shared" si="261"/>
        <v>334.33</v>
      </c>
      <c r="AE197">
        <f t="shared" si="262"/>
        <v>11.36</v>
      </c>
      <c r="AF197">
        <f t="shared" si="263"/>
        <v>9.2899999999999991</v>
      </c>
      <c r="AG197">
        <f t="shared" si="264"/>
        <v>0</v>
      </c>
      <c r="AH197">
        <f t="shared" si="265"/>
        <v>0.79</v>
      </c>
      <c r="AI197">
        <f t="shared" si="266"/>
        <v>0</v>
      </c>
      <c r="AJ197">
        <f t="shared" si="267"/>
        <v>0</v>
      </c>
      <c r="AK197">
        <v>482.83</v>
      </c>
      <c r="AL197">
        <v>139.21</v>
      </c>
      <c r="AM197">
        <v>334.33</v>
      </c>
      <c r="AN197">
        <v>11.36</v>
      </c>
      <c r="AO197">
        <v>9.2899999999999991</v>
      </c>
      <c r="AP197">
        <v>0</v>
      </c>
      <c r="AQ197">
        <v>0.79</v>
      </c>
      <c r="AR197">
        <v>0</v>
      </c>
      <c r="AS197">
        <v>0</v>
      </c>
      <c r="AT197">
        <v>115</v>
      </c>
      <c r="AU197">
        <v>41</v>
      </c>
      <c r="AV197">
        <v>1</v>
      </c>
      <c r="AW197">
        <v>1</v>
      </c>
      <c r="AZ197">
        <v>1</v>
      </c>
      <c r="BA197">
        <v>46.67</v>
      </c>
      <c r="BB197">
        <v>11.37</v>
      </c>
      <c r="BC197">
        <v>3.82</v>
      </c>
      <c r="BD197" t="s">
        <v>6</v>
      </c>
      <c r="BE197" t="s">
        <v>6</v>
      </c>
      <c r="BF197" t="s">
        <v>6</v>
      </c>
      <c r="BG197" t="s">
        <v>6</v>
      </c>
      <c r="BH197">
        <v>0</v>
      </c>
      <c r="BI197">
        <v>1</v>
      </c>
      <c r="BJ197" t="s">
        <v>249</v>
      </c>
      <c r="BM197">
        <v>1729</v>
      </c>
      <c r="BN197">
        <v>0</v>
      </c>
      <c r="BO197" t="s">
        <v>247</v>
      </c>
      <c r="BP197">
        <v>1</v>
      </c>
      <c r="BQ197">
        <v>60</v>
      </c>
      <c r="BR197">
        <v>0</v>
      </c>
      <c r="BS197">
        <v>46.67</v>
      </c>
      <c r="BT197">
        <v>1</v>
      </c>
      <c r="BU197">
        <v>1</v>
      </c>
      <c r="BV197">
        <v>1</v>
      </c>
      <c r="BW197">
        <v>1</v>
      </c>
      <c r="BX197">
        <v>1</v>
      </c>
      <c r="BY197" t="s">
        <v>6</v>
      </c>
      <c r="BZ197">
        <v>115</v>
      </c>
      <c r="CA197">
        <v>41</v>
      </c>
      <c r="CB197" t="s">
        <v>6</v>
      </c>
      <c r="CE197">
        <v>30</v>
      </c>
      <c r="CF197">
        <v>0</v>
      </c>
      <c r="CG197">
        <v>0</v>
      </c>
      <c r="CM197">
        <v>0</v>
      </c>
      <c r="CN197" t="s">
        <v>6</v>
      </c>
      <c r="CO197">
        <v>0</v>
      </c>
      <c r="CP197">
        <f t="shared" si="268"/>
        <v>270699.73</v>
      </c>
      <c r="CQ197">
        <f t="shared" si="269"/>
        <v>531.78</v>
      </c>
      <c r="CR197">
        <f t="shared" si="270"/>
        <v>3801.33</v>
      </c>
      <c r="CS197">
        <f t="shared" si="271"/>
        <v>530.16999999999996</v>
      </c>
      <c r="CT197">
        <f t="shared" si="272"/>
        <v>433.56</v>
      </c>
      <c r="CU197">
        <f t="shared" si="273"/>
        <v>0</v>
      </c>
      <c r="CV197">
        <f t="shared" si="274"/>
        <v>0.79</v>
      </c>
      <c r="CW197">
        <f t="shared" si="275"/>
        <v>0</v>
      </c>
      <c r="CX197">
        <f t="shared" si="276"/>
        <v>0</v>
      </c>
      <c r="CY197">
        <f>S197*(BZ197/100)</f>
        <v>28315.483999999997</v>
      </c>
      <c r="CZ197">
        <f>S197*(CA197/100)</f>
        <v>10095.085599999999</v>
      </c>
      <c r="DC197" t="s">
        <v>6</v>
      </c>
      <c r="DD197" t="s">
        <v>6</v>
      </c>
      <c r="DE197" t="s">
        <v>6</v>
      </c>
      <c r="DF197" t="s">
        <v>6</v>
      </c>
      <c r="DG197" t="s">
        <v>6</v>
      </c>
      <c r="DH197" t="s">
        <v>6</v>
      </c>
      <c r="DI197" t="s">
        <v>6</v>
      </c>
      <c r="DJ197" t="s">
        <v>6</v>
      </c>
      <c r="DK197" t="s">
        <v>6</v>
      </c>
      <c r="DL197" t="s">
        <v>6</v>
      </c>
      <c r="DM197" t="s">
        <v>6</v>
      </c>
      <c r="DN197">
        <v>140</v>
      </c>
      <c r="DO197">
        <v>79</v>
      </c>
      <c r="DP197">
        <v>1</v>
      </c>
      <c r="DQ197">
        <v>1</v>
      </c>
      <c r="DU197">
        <v>1005</v>
      </c>
      <c r="DV197" t="s">
        <v>27</v>
      </c>
      <c r="DW197" t="s">
        <v>27</v>
      </c>
      <c r="DX197">
        <v>100</v>
      </c>
      <c r="DZ197" t="s">
        <v>6</v>
      </c>
      <c r="EA197" t="s">
        <v>6</v>
      </c>
      <c r="EB197" t="s">
        <v>6</v>
      </c>
      <c r="EC197" t="s">
        <v>6</v>
      </c>
      <c r="EE197">
        <v>69254354</v>
      </c>
      <c r="EF197">
        <v>60</v>
      </c>
      <c r="EG197" t="s">
        <v>127</v>
      </c>
      <c r="EH197">
        <v>0</v>
      </c>
      <c r="EI197" t="s">
        <v>6</v>
      </c>
      <c r="EJ197">
        <v>1</v>
      </c>
      <c r="EK197">
        <v>1729</v>
      </c>
      <c r="EL197" t="s">
        <v>250</v>
      </c>
      <c r="EM197" t="s">
        <v>251</v>
      </c>
      <c r="EO197" t="s">
        <v>6</v>
      </c>
      <c r="EQ197">
        <v>0</v>
      </c>
      <c r="ER197">
        <v>482.83</v>
      </c>
      <c r="ES197">
        <v>139.21</v>
      </c>
      <c r="ET197">
        <v>334.33</v>
      </c>
      <c r="EU197">
        <v>11.36</v>
      </c>
      <c r="EV197">
        <v>9.2899999999999991</v>
      </c>
      <c r="EW197">
        <v>0.79</v>
      </c>
      <c r="EX197">
        <v>0</v>
      </c>
      <c r="EY197">
        <v>0</v>
      </c>
      <c r="FQ197">
        <v>0</v>
      </c>
      <c r="FR197">
        <f t="shared" si="277"/>
        <v>0</v>
      </c>
      <c r="FS197">
        <v>0</v>
      </c>
      <c r="FX197">
        <v>140</v>
      </c>
      <c r="FY197">
        <v>79</v>
      </c>
      <c r="GA197" t="s">
        <v>6</v>
      </c>
      <c r="GD197">
        <v>0</v>
      </c>
      <c r="GF197">
        <v>-2122895393</v>
      </c>
      <c r="GG197">
        <v>2</v>
      </c>
      <c r="GH197">
        <v>1</v>
      </c>
      <c r="GI197">
        <v>2</v>
      </c>
      <c r="GJ197">
        <v>0</v>
      </c>
      <c r="GK197">
        <f>ROUND(R197*(S12)/100,2)</f>
        <v>48173.15</v>
      </c>
      <c r="GL197">
        <f t="shared" si="278"/>
        <v>0</v>
      </c>
      <c r="GM197">
        <f t="shared" si="279"/>
        <v>357283.45</v>
      </c>
      <c r="GN197">
        <f t="shared" si="280"/>
        <v>357283.45</v>
      </c>
      <c r="GO197">
        <f t="shared" si="281"/>
        <v>0</v>
      </c>
      <c r="GP197">
        <f t="shared" si="282"/>
        <v>0</v>
      </c>
      <c r="GR197">
        <v>0</v>
      </c>
      <c r="GS197">
        <v>0</v>
      </c>
      <c r="GT197">
        <v>0</v>
      </c>
      <c r="GU197" t="s">
        <v>6</v>
      </c>
      <c r="GV197">
        <f t="shared" si="283"/>
        <v>0</v>
      </c>
      <c r="GW197">
        <v>1</v>
      </c>
      <c r="GX197">
        <f t="shared" si="284"/>
        <v>0</v>
      </c>
      <c r="HA197">
        <v>0</v>
      </c>
      <c r="HB197">
        <v>0</v>
      </c>
      <c r="HC197">
        <f t="shared" si="285"/>
        <v>0</v>
      </c>
      <c r="HE197" t="s">
        <v>6</v>
      </c>
      <c r="HF197" t="s">
        <v>6</v>
      </c>
      <c r="HM197" t="s">
        <v>6</v>
      </c>
      <c r="HN197" t="s">
        <v>6</v>
      </c>
      <c r="HO197" t="s">
        <v>6</v>
      </c>
      <c r="HP197" t="s">
        <v>6</v>
      </c>
      <c r="HQ197" t="s">
        <v>6</v>
      </c>
      <c r="IK197">
        <v>0</v>
      </c>
    </row>
    <row r="198" spans="1:255">
      <c r="A198" s="2">
        <v>17</v>
      </c>
      <c r="B198" s="2">
        <v>1</v>
      </c>
      <c r="C198" s="2"/>
      <c r="D198" s="2"/>
      <c r="E198" s="2" t="s">
        <v>252</v>
      </c>
      <c r="F198" s="2" t="s">
        <v>253</v>
      </c>
      <c r="G198" s="2" t="s">
        <v>254</v>
      </c>
      <c r="H198" s="2" t="s">
        <v>27</v>
      </c>
      <c r="I198" s="2">
        <f>ROUND(-(5679)/100,9)</f>
        <v>-56.79</v>
      </c>
      <c r="J198" s="2">
        <v>0</v>
      </c>
      <c r="K198" s="2">
        <f>ROUND(-(5679)/100,9)</f>
        <v>-56.79</v>
      </c>
      <c r="L198" s="2"/>
      <c r="M198" s="2"/>
      <c r="N198" s="2"/>
      <c r="O198" s="2">
        <f t="shared" si="248"/>
        <v>-4088.88</v>
      </c>
      <c r="P198" s="2">
        <f t="shared" si="249"/>
        <v>-1297.08</v>
      </c>
      <c r="Q198" s="2">
        <f t="shared" si="250"/>
        <v>-2763.4</v>
      </c>
      <c r="R198" s="2">
        <f t="shared" si="251"/>
        <v>-70.989999999999995</v>
      </c>
      <c r="S198" s="2">
        <f t="shared" si="252"/>
        <v>-28.4</v>
      </c>
      <c r="T198" s="2">
        <f t="shared" si="253"/>
        <v>0</v>
      </c>
      <c r="U198" s="2">
        <f t="shared" si="254"/>
        <v>-2.2715999999999998</v>
      </c>
      <c r="V198" s="2">
        <f t="shared" si="255"/>
        <v>0</v>
      </c>
      <c r="W198" s="2">
        <f t="shared" si="256"/>
        <v>0</v>
      </c>
      <c r="X198" s="2">
        <f t="shared" si="257"/>
        <v>-39.76</v>
      </c>
      <c r="Y198" s="2">
        <f t="shared" si="258"/>
        <v>-22.44</v>
      </c>
      <c r="Z198" s="2"/>
      <c r="AA198" s="2">
        <v>70322058</v>
      </c>
      <c r="AB198" s="2">
        <f t="shared" si="259"/>
        <v>72</v>
      </c>
      <c r="AC198" s="2">
        <f t="shared" si="260"/>
        <v>22.84</v>
      </c>
      <c r="AD198" s="2">
        <f t="shared" si="261"/>
        <v>48.66</v>
      </c>
      <c r="AE198" s="2">
        <f t="shared" si="262"/>
        <v>1.25</v>
      </c>
      <c r="AF198" s="2">
        <f t="shared" si="263"/>
        <v>0.5</v>
      </c>
      <c r="AG198" s="2">
        <f t="shared" si="264"/>
        <v>0</v>
      </c>
      <c r="AH198" s="2">
        <f t="shared" si="265"/>
        <v>0.04</v>
      </c>
      <c r="AI198" s="2">
        <f t="shared" si="266"/>
        <v>0</v>
      </c>
      <c r="AJ198" s="2">
        <f t="shared" si="267"/>
        <v>0</v>
      </c>
      <c r="AK198" s="2">
        <v>72</v>
      </c>
      <c r="AL198" s="2">
        <v>22.84</v>
      </c>
      <c r="AM198" s="2">
        <v>48.66</v>
      </c>
      <c r="AN198" s="2">
        <v>1.25</v>
      </c>
      <c r="AO198" s="2">
        <v>0.5</v>
      </c>
      <c r="AP198" s="2">
        <v>0</v>
      </c>
      <c r="AQ198" s="2">
        <v>0.04</v>
      </c>
      <c r="AR198" s="2">
        <v>0</v>
      </c>
      <c r="AS198" s="2">
        <v>0</v>
      </c>
      <c r="AT198" s="2">
        <v>140</v>
      </c>
      <c r="AU198" s="2">
        <v>79</v>
      </c>
      <c r="AV198" s="2">
        <v>1</v>
      </c>
      <c r="AW198" s="2">
        <v>1</v>
      </c>
      <c r="AX198" s="2"/>
      <c r="AY198" s="2"/>
      <c r="AZ198" s="2">
        <v>1</v>
      </c>
      <c r="BA198" s="2">
        <v>1</v>
      </c>
      <c r="BB198" s="2">
        <v>1</v>
      </c>
      <c r="BC198" s="2">
        <v>1</v>
      </c>
      <c r="BD198" s="2" t="s">
        <v>6</v>
      </c>
      <c r="BE198" s="2" t="s">
        <v>6</v>
      </c>
      <c r="BF198" s="2" t="s">
        <v>6</v>
      </c>
      <c r="BG198" s="2" t="s">
        <v>6</v>
      </c>
      <c r="BH198" s="2">
        <v>0</v>
      </c>
      <c r="BI198" s="2">
        <v>1</v>
      </c>
      <c r="BJ198" s="2" t="s">
        <v>255</v>
      </c>
      <c r="BK198" s="2"/>
      <c r="BL198" s="2"/>
      <c r="BM198" s="2">
        <v>1729</v>
      </c>
      <c r="BN198" s="2">
        <v>0</v>
      </c>
      <c r="BO198" s="2" t="s">
        <v>6</v>
      </c>
      <c r="BP198" s="2">
        <v>0</v>
      </c>
      <c r="BQ198" s="2">
        <v>60</v>
      </c>
      <c r="BR198" s="2">
        <v>0</v>
      </c>
      <c r="BS198" s="2">
        <v>1</v>
      </c>
      <c r="BT198" s="2">
        <v>1</v>
      </c>
      <c r="BU198" s="2">
        <v>1</v>
      </c>
      <c r="BV198" s="2">
        <v>1</v>
      </c>
      <c r="BW198" s="2">
        <v>1</v>
      </c>
      <c r="BX198" s="2">
        <v>1</v>
      </c>
      <c r="BY198" s="2" t="s">
        <v>6</v>
      </c>
      <c r="BZ198" s="2">
        <v>140</v>
      </c>
      <c r="CA198" s="2">
        <v>79</v>
      </c>
      <c r="CB198" s="2" t="s">
        <v>6</v>
      </c>
      <c r="CC198" s="2"/>
      <c r="CD198" s="2"/>
      <c r="CE198" s="2">
        <v>30</v>
      </c>
      <c r="CF198" s="2">
        <v>0</v>
      </c>
      <c r="CG198" s="2">
        <v>0</v>
      </c>
      <c r="CH198" s="2"/>
      <c r="CI198" s="2"/>
      <c r="CJ198" s="2"/>
      <c r="CK198" s="2"/>
      <c r="CL198" s="2"/>
      <c r="CM198" s="2">
        <v>0</v>
      </c>
      <c r="CN198" s="2" t="s">
        <v>6</v>
      </c>
      <c r="CO198" s="2">
        <v>0</v>
      </c>
      <c r="CP198" s="2">
        <f t="shared" si="268"/>
        <v>-4088.88</v>
      </c>
      <c r="CQ198" s="2">
        <f t="shared" si="269"/>
        <v>22.84</v>
      </c>
      <c r="CR198" s="2">
        <f t="shared" si="270"/>
        <v>48.66</v>
      </c>
      <c r="CS198" s="2">
        <f t="shared" si="271"/>
        <v>1.25</v>
      </c>
      <c r="CT198" s="2">
        <f t="shared" si="272"/>
        <v>0.5</v>
      </c>
      <c r="CU198" s="2">
        <f t="shared" si="273"/>
        <v>0</v>
      </c>
      <c r="CV198" s="2">
        <f t="shared" si="274"/>
        <v>0.04</v>
      </c>
      <c r="CW198" s="2">
        <f t="shared" si="275"/>
        <v>0</v>
      </c>
      <c r="CX198" s="2">
        <f t="shared" si="276"/>
        <v>0</v>
      </c>
      <c r="CY198" s="2">
        <f>((S198*BZ198)/100)</f>
        <v>-39.76</v>
      </c>
      <c r="CZ198" s="2">
        <f>((S198*CA198)/100)</f>
        <v>-22.436</v>
      </c>
      <c r="DA198" s="2"/>
      <c r="DB198" s="2"/>
      <c r="DC198" s="2" t="s">
        <v>6</v>
      </c>
      <c r="DD198" s="2" t="s">
        <v>6</v>
      </c>
      <c r="DE198" s="2" t="s">
        <v>6</v>
      </c>
      <c r="DF198" s="2" t="s">
        <v>6</v>
      </c>
      <c r="DG198" s="2" t="s">
        <v>6</v>
      </c>
      <c r="DH198" s="2" t="s">
        <v>6</v>
      </c>
      <c r="DI198" s="2" t="s">
        <v>6</v>
      </c>
      <c r="DJ198" s="2" t="s">
        <v>6</v>
      </c>
      <c r="DK198" s="2" t="s">
        <v>6</v>
      </c>
      <c r="DL198" s="2" t="s">
        <v>6</v>
      </c>
      <c r="DM198" s="2" t="s">
        <v>6</v>
      </c>
      <c r="DN198" s="2">
        <v>0</v>
      </c>
      <c r="DO198" s="2">
        <v>0</v>
      </c>
      <c r="DP198" s="2">
        <v>1</v>
      </c>
      <c r="DQ198" s="2">
        <v>1</v>
      </c>
      <c r="DR198" s="2"/>
      <c r="DS198" s="2"/>
      <c r="DT198" s="2"/>
      <c r="DU198" s="2">
        <v>1005</v>
      </c>
      <c r="DV198" s="2" t="s">
        <v>27</v>
      </c>
      <c r="DW198" s="2" t="s">
        <v>27</v>
      </c>
      <c r="DX198" s="2">
        <v>100</v>
      </c>
      <c r="DY198" s="2"/>
      <c r="DZ198" s="2" t="s">
        <v>6</v>
      </c>
      <c r="EA198" s="2" t="s">
        <v>6</v>
      </c>
      <c r="EB198" s="2" t="s">
        <v>6</v>
      </c>
      <c r="EC198" s="2" t="s">
        <v>6</v>
      </c>
      <c r="ED198" s="2"/>
      <c r="EE198" s="2">
        <v>69254354</v>
      </c>
      <c r="EF198" s="2">
        <v>60</v>
      </c>
      <c r="EG198" s="2" t="s">
        <v>127</v>
      </c>
      <c r="EH198" s="2">
        <v>0</v>
      </c>
      <c r="EI198" s="2" t="s">
        <v>6</v>
      </c>
      <c r="EJ198" s="2">
        <v>1</v>
      </c>
      <c r="EK198" s="2">
        <v>1729</v>
      </c>
      <c r="EL198" s="2" t="s">
        <v>250</v>
      </c>
      <c r="EM198" s="2" t="s">
        <v>251</v>
      </c>
      <c r="EN198" s="2"/>
      <c r="EO198" s="2" t="s">
        <v>6</v>
      </c>
      <c r="EP198" s="2"/>
      <c r="EQ198" s="2">
        <v>0</v>
      </c>
      <c r="ER198" s="2">
        <v>72</v>
      </c>
      <c r="ES198" s="2">
        <v>22.84</v>
      </c>
      <c r="ET198" s="2">
        <v>48.66</v>
      </c>
      <c r="EU198" s="2">
        <v>1.25</v>
      </c>
      <c r="EV198" s="2">
        <v>0.5</v>
      </c>
      <c r="EW198" s="2">
        <v>0.04</v>
      </c>
      <c r="EX198" s="2">
        <v>0</v>
      </c>
      <c r="EY198" s="2">
        <v>0</v>
      </c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>
        <v>0</v>
      </c>
      <c r="FR198" s="2">
        <f t="shared" si="277"/>
        <v>0</v>
      </c>
      <c r="FS198" s="2">
        <v>0</v>
      </c>
      <c r="FT198" s="2"/>
      <c r="FU198" s="2"/>
      <c r="FV198" s="2"/>
      <c r="FW198" s="2"/>
      <c r="FX198" s="2">
        <v>140</v>
      </c>
      <c r="FY198" s="2">
        <v>79</v>
      </c>
      <c r="FZ198" s="2"/>
      <c r="GA198" s="2" t="s">
        <v>6</v>
      </c>
      <c r="GB198" s="2"/>
      <c r="GC198" s="2"/>
      <c r="GD198" s="2">
        <v>0</v>
      </c>
      <c r="GE198" s="2"/>
      <c r="GF198" s="2">
        <v>-942964438</v>
      </c>
      <c r="GG198" s="2">
        <v>2</v>
      </c>
      <c r="GH198" s="2">
        <v>1</v>
      </c>
      <c r="GI198" s="2">
        <v>-2</v>
      </c>
      <c r="GJ198" s="2">
        <v>0</v>
      </c>
      <c r="GK198" s="2">
        <f>ROUND(R198*(R12)/100,2)</f>
        <v>-124.23</v>
      </c>
      <c r="GL198" s="2">
        <f t="shared" si="278"/>
        <v>0</v>
      </c>
      <c r="GM198" s="2">
        <f t="shared" si="279"/>
        <v>-4275.3100000000004</v>
      </c>
      <c r="GN198" s="2">
        <f t="shared" si="280"/>
        <v>-4275.3100000000004</v>
      </c>
      <c r="GO198" s="2">
        <f t="shared" si="281"/>
        <v>0</v>
      </c>
      <c r="GP198" s="2">
        <f t="shared" si="282"/>
        <v>0</v>
      </c>
      <c r="GQ198" s="2"/>
      <c r="GR198" s="2">
        <v>0</v>
      </c>
      <c r="GS198" s="2">
        <v>3</v>
      </c>
      <c r="GT198" s="2">
        <v>0</v>
      </c>
      <c r="GU198" s="2" t="s">
        <v>6</v>
      </c>
      <c r="GV198" s="2">
        <f t="shared" si="283"/>
        <v>0</v>
      </c>
      <c r="GW198" s="2">
        <v>1</v>
      </c>
      <c r="GX198" s="2">
        <f t="shared" si="284"/>
        <v>0</v>
      </c>
      <c r="GY198" s="2"/>
      <c r="GZ198" s="2"/>
      <c r="HA198" s="2">
        <v>0</v>
      </c>
      <c r="HB198" s="2">
        <v>0</v>
      </c>
      <c r="HC198" s="2">
        <f t="shared" si="285"/>
        <v>0</v>
      </c>
      <c r="HD198" s="2"/>
      <c r="HE198" s="2" t="s">
        <v>6</v>
      </c>
      <c r="HF198" s="2" t="s">
        <v>6</v>
      </c>
      <c r="HG198" s="2"/>
      <c r="HH198" s="2"/>
      <c r="HI198" s="2"/>
      <c r="HJ198" s="2"/>
      <c r="HK198" s="2"/>
      <c r="HL198" s="2"/>
      <c r="HM198" s="2" t="s">
        <v>6</v>
      </c>
      <c r="HN198" s="2" t="s">
        <v>6</v>
      </c>
      <c r="HO198" s="2" t="s">
        <v>6</v>
      </c>
      <c r="HP198" s="2" t="s">
        <v>6</v>
      </c>
      <c r="HQ198" s="2" t="s">
        <v>6</v>
      </c>
      <c r="HR198" s="2"/>
      <c r="HS198" s="2"/>
      <c r="HT198" s="2"/>
      <c r="HU198" s="2"/>
      <c r="HV198" s="2"/>
      <c r="HW198" s="2"/>
      <c r="HX198" s="2"/>
      <c r="HY198" s="2"/>
      <c r="HZ198" s="2"/>
      <c r="IA198" s="2"/>
      <c r="IB198" s="2"/>
      <c r="IC198" s="2"/>
      <c r="ID198" s="2"/>
      <c r="IE198" s="2"/>
      <c r="IF198" s="2"/>
      <c r="IG198" s="2"/>
      <c r="IH198" s="2"/>
      <c r="II198" s="2"/>
      <c r="IJ198" s="2"/>
      <c r="IK198" s="2">
        <v>0</v>
      </c>
      <c r="IL198" s="2"/>
      <c r="IM198" s="2"/>
      <c r="IN198" s="2"/>
      <c r="IO198" s="2"/>
      <c r="IP198" s="2"/>
      <c r="IQ198" s="2"/>
      <c r="IR198" s="2"/>
      <c r="IS198" s="2"/>
      <c r="IT198" s="2"/>
      <c r="IU198" s="2"/>
    </row>
    <row r="199" spans="1:255">
      <c r="A199">
        <v>17</v>
      </c>
      <c r="B199">
        <v>1</v>
      </c>
      <c r="E199" t="s">
        <v>252</v>
      </c>
      <c r="F199" t="s">
        <v>253</v>
      </c>
      <c r="G199" t="s">
        <v>254</v>
      </c>
      <c r="H199" t="s">
        <v>27</v>
      </c>
      <c r="I199">
        <f>ROUND(-(5679)/100,9)</f>
        <v>-56.79</v>
      </c>
      <c r="J199">
        <v>0</v>
      </c>
      <c r="K199">
        <f>ROUND(-(5679)/100,9)</f>
        <v>-56.79</v>
      </c>
      <c r="O199">
        <f t="shared" si="248"/>
        <v>-36828.82</v>
      </c>
      <c r="P199">
        <f t="shared" si="249"/>
        <v>-4967.82</v>
      </c>
      <c r="Q199">
        <f t="shared" si="250"/>
        <v>-30535.57</v>
      </c>
      <c r="R199">
        <f t="shared" si="251"/>
        <v>-3313.1</v>
      </c>
      <c r="S199">
        <f t="shared" si="252"/>
        <v>-1325.43</v>
      </c>
      <c r="T199">
        <f t="shared" si="253"/>
        <v>0</v>
      </c>
      <c r="U199">
        <f t="shared" si="254"/>
        <v>-2.2715999999999998</v>
      </c>
      <c r="V199">
        <f t="shared" si="255"/>
        <v>0</v>
      </c>
      <c r="W199">
        <f t="shared" si="256"/>
        <v>0</v>
      </c>
      <c r="X199">
        <f t="shared" si="257"/>
        <v>-1524.24</v>
      </c>
      <c r="Y199">
        <f t="shared" si="258"/>
        <v>-543.42999999999995</v>
      </c>
      <c r="AA199">
        <v>70322059</v>
      </c>
      <c r="AB199">
        <f t="shared" si="259"/>
        <v>72</v>
      </c>
      <c r="AC199">
        <f t="shared" si="260"/>
        <v>22.84</v>
      </c>
      <c r="AD199">
        <f t="shared" si="261"/>
        <v>48.66</v>
      </c>
      <c r="AE199">
        <f t="shared" si="262"/>
        <v>1.25</v>
      </c>
      <c r="AF199">
        <f t="shared" si="263"/>
        <v>0.5</v>
      </c>
      <c r="AG199">
        <f t="shared" si="264"/>
        <v>0</v>
      </c>
      <c r="AH199">
        <f t="shared" si="265"/>
        <v>0.04</v>
      </c>
      <c r="AI199">
        <f t="shared" si="266"/>
        <v>0</v>
      </c>
      <c r="AJ199">
        <f t="shared" si="267"/>
        <v>0</v>
      </c>
      <c r="AK199">
        <v>72</v>
      </c>
      <c r="AL199">
        <v>22.84</v>
      </c>
      <c r="AM199">
        <v>48.66</v>
      </c>
      <c r="AN199">
        <v>1.25</v>
      </c>
      <c r="AO199">
        <v>0.5</v>
      </c>
      <c r="AP199">
        <v>0</v>
      </c>
      <c r="AQ199">
        <v>0.04</v>
      </c>
      <c r="AR199">
        <v>0</v>
      </c>
      <c r="AS199">
        <v>0</v>
      </c>
      <c r="AT199">
        <v>115</v>
      </c>
      <c r="AU199">
        <v>41</v>
      </c>
      <c r="AV199">
        <v>1</v>
      </c>
      <c r="AW199">
        <v>1</v>
      </c>
      <c r="AZ199">
        <v>1</v>
      </c>
      <c r="BA199">
        <v>46.67</v>
      </c>
      <c r="BB199">
        <v>11.05</v>
      </c>
      <c r="BC199">
        <v>3.83</v>
      </c>
      <c r="BD199" t="s">
        <v>6</v>
      </c>
      <c r="BE199" t="s">
        <v>6</v>
      </c>
      <c r="BF199" t="s">
        <v>6</v>
      </c>
      <c r="BG199" t="s">
        <v>6</v>
      </c>
      <c r="BH199">
        <v>0</v>
      </c>
      <c r="BI199">
        <v>1</v>
      </c>
      <c r="BJ199" t="s">
        <v>255</v>
      </c>
      <c r="BM199">
        <v>1729</v>
      </c>
      <c r="BN199">
        <v>0</v>
      </c>
      <c r="BO199" t="s">
        <v>253</v>
      </c>
      <c r="BP199">
        <v>1</v>
      </c>
      <c r="BQ199">
        <v>60</v>
      </c>
      <c r="BR199">
        <v>0</v>
      </c>
      <c r="BS199">
        <v>46.67</v>
      </c>
      <c r="BT199">
        <v>1</v>
      </c>
      <c r="BU199">
        <v>1</v>
      </c>
      <c r="BV199">
        <v>1</v>
      </c>
      <c r="BW199">
        <v>1</v>
      </c>
      <c r="BX199">
        <v>1</v>
      </c>
      <c r="BY199" t="s">
        <v>6</v>
      </c>
      <c r="BZ199">
        <v>115</v>
      </c>
      <c r="CA199">
        <v>41</v>
      </c>
      <c r="CB199" t="s">
        <v>6</v>
      </c>
      <c r="CE199">
        <v>30</v>
      </c>
      <c r="CF199">
        <v>0</v>
      </c>
      <c r="CG199">
        <v>0</v>
      </c>
      <c r="CM199">
        <v>0</v>
      </c>
      <c r="CN199" t="s">
        <v>6</v>
      </c>
      <c r="CO199">
        <v>0</v>
      </c>
      <c r="CP199">
        <f t="shared" si="268"/>
        <v>-36828.82</v>
      </c>
      <c r="CQ199">
        <f t="shared" si="269"/>
        <v>87.48</v>
      </c>
      <c r="CR199">
        <f t="shared" si="270"/>
        <v>537.69000000000005</v>
      </c>
      <c r="CS199">
        <f t="shared" si="271"/>
        <v>58.34</v>
      </c>
      <c r="CT199">
        <f t="shared" si="272"/>
        <v>23.34</v>
      </c>
      <c r="CU199">
        <f t="shared" si="273"/>
        <v>0</v>
      </c>
      <c r="CV199">
        <f t="shared" si="274"/>
        <v>0.04</v>
      </c>
      <c r="CW199">
        <f t="shared" si="275"/>
        <v>0</v>
      </c>
      <c r="CX199">
        <f t="shared" si="276"/>
        <v>0</v>
      </c>
      <c r="CY199">
        <f>S199*(BZ199/100)</f>
        <v>-1524.2445</v>
      </c>
      <c r="CZ199">
        <f>S199*(CA199/100)</f>
        <v>-543.42629999999997</v>
      </c>
      <c r="DC199" t="s">
        <v>6</v>
      </c>
      <c r="DD199" t="s">
        <v>6</v>
      </c>
      <c r="DE199" t="s">
        <v>6</v>
      </c>
      <c r="DF199" t="s">
        <v>6</v>
      </c>
      <c r="DG199" t="s">
        <v>6</v>
      </c>
      <c r="DH199" t="s">
        <v>6</v>
      </c>
      <c r="DI199" t="s">
        <v>6</v>
      </c>
      <c r="DJ199" t="s">
        <v>6</v>
      </c>
      <c r="DK199" t="s">
        <v>6</v>
      </c>
      <c r="DL199" t="s">
        <v>6</v>
      </c>
      <c r="DM199" t="s">
        <v>6</v>
      </c>
      <c r="DN199">
        <v>140</v>
      </c>
      <c r="DO199">
        <v>79</v>
      </c>
      <c r="DP199">
        <v>1</v>
      </c>
      <c r="DQ199">
        <v>1</v>
      </c>
      <c r="DU199">
        <v>1005</v>
      </c>
      <c r="DV199" t="s">
        <v>27</v>
      </c>
      <c r="DW199" t="s">
        <v>27</v>
      </c>
      <c r="DX199">
        <v>100</v>
      </c>
      <c r="DZ199" t="s">
        <v>6</v>
      </c>
      <c r="EA199" t="s">
        <v>6</v>
      </c>
      <c r="EB199" t="s">
        <v>6</v>
      </c>
      <c r="EC199" t="s">
        <v>6</v>
      </c>
      <c r="EE199">
        <v>69254354</v>
      </c>
      <c r="EF199">
        <v>60</v>
      </c>
      <c r="EG199" t="s">
        <v>127</v>
      </c>
      <c r="EH199">
        <v>0</v>
      </c>
      <c r="EI199" t="s">
        <v>6</v>
      </c>
      <c r="EJ199">
        <v>1</v>
      </c>
      <c r="EK199">
        <v>1729</v>
      </c>
      <c r="EL199" t="s">
        <v>250</v>
      </c>
      <c r="EM199" t="s">
        <v>251</v>
      </c>
      <c r="EO199" t="s">
        <v>6</v>
      </c>
      <c r="EQ199">
        <v>0</v>
      </c>
      <c r="ER199">
        <v>72</v>
      </c>
      <c r="ES199">
        <v>22.84</v>
      </c>
      <c r="ET199">
        <v>48.66</v>
      </c>
      <c r="EU199">
        <v>1.25</v>
      </c>
      <c r="EV199">
        <v>0.5</v>
      </c>
      <c r="EW199">
        <v>0.04</v>
      </c>
      <c r="EX199">
        <v>0</v>
      </c>
      <c r="EY199">
        <v>0</v>
      </c>
      <c r="FQ199">
        <v>0</v>
      </c>
      <c r="FR199">
        <f t="shared" si="277"/>
        <v>0</v>
      </c>
      <c r="FS199">
        <v>0</v>
      </c>
      <c r="FX199">
        <v>140</v>
      </c>
      <c r="FY199">
        <v>79</v>
      </c>
      <c r="GA199" t="s">
        <v>6</v>
      </c>
      <c r="GD199">
        <v>0</v>
      </c>
      <c r="GF199">
        <v>-942964438</v>
      </c>
      <c r="GG199">
        <v>2</v>
      </c>
      <c r="GH199">
        <v>1</v>
      </c>
      <c r="GI199">
        <v>2</v>
      </c>
      <c r="GJ199">
        <v>0</v>
      </c>
      <c r="GK199">
        <f>ROUND(R199*(S12)/100,2)</f>
        <v>-5300.96</v>
      </c>
      <c r="GL199">
        <f t="shared" si="278"/>
        <v>0</v>
      </c>
      <c r="GM199">
        <f t="shared" si="279"/>
        <v>-44197.45</v>
      </c>
      <c r="GN199">
        <f t="shared" si="280"/>
        <v>-44197.45</v>
      </c>
      <c r="GO199">
        <f t="shared" si="281"/>
        <v>0</v>
      </c>
      <c r="GP199">
        <f t="shared" si="282"/>
        <v>0</v>
      </c>
      <c r="GR199">
        <v>0</v>
      </c>
      <c r="GS199">
        <v>0</v>
      </c>
      <c r="GT199">
        <v>0</v>
      </c>
      <c r="GU199" t="s">
        <v>6</v>
      </c>
      <c r="GV199">
        <f t="shared" si="283"/>
        <v>0</v>
      </c>
      <c r="GW199">
        <v>1</v>
      </c>
      <c r="GX199">
        <f t="shared" si="284"/>
        <v>0</v>
      </c>
      <c r="HA199">
        <v>0</v>
      </c>
      <c r="HB199">
        <v>0</v>
      </c>
      <c r="HC199">
        <f t="shared" si="285"/>
        <v>0</v>
      </c>
      <c r="HE199" t="s">
        <v>6</v>
      </c>
      <c r="HF199" t="s">
        <v>6</v>
      </c>
      <c r="HM199" t="s">
        <v>6</v>
      </c>
      <c r="HN199" t="s">
        <v>6</v>
      </c>
      <c r="HO199" t="s">
        <v>6</v>
      </c>
      <c r="HP199" t="s">
        <v>6</v>
      </c>
      <c r="HQ199" t="s">
        <v>6</v>
      </c>
      <c r="IK199">
        <v>0</v>
      </c>
    </row>
    <row r="200" spans="1:255">
      <c r="A200" s="2">
        <v>17</v>
      </c>
      <c r="B200" s="2">
        <v>1</v>
      </c>
      <c r="C200" s="2"/>
      <c r="D200" s="2"/>
      <c r="E200" s="2" t="s">
        <v>6</v>
      </c>
      <c r="F200" s="2" t="s">
        <v>256</v>
      </c>
      <c r="G200" s="2" t="s">
        <v>257</v>
      </c>
      <c r="H200" s="2" t="s">
        <v>258</v>
      </c>
      <c r="I200" s="2">
        <f>ROUND(85,9)</f>
        <v>85</v>
      </c>
      <c r="J200" s="2">
        <v>0</v>
      </c>
      <c r="K200" s="2">
        <f>ROUND(85,9)</f>
        <v>85</v>
      </c>
      <c r="L200" s="2"/>
      <c r="M200" s="2"/>
      <c r="N200" s="2"/>
      <c r="O200" s="2">
        <f t="shared" si="248"/>
        <v>947.07</v>
      </c>
      <c r="P200" s="2">
        <f t="shared" si="249"/>
        <v>129.19999999999999</v>
      </c>
      <c r="Q200" s="2">
        <f t="shared" si="250"/>
        <v>783.16</v>
      </c>
      <c r="R200" s="2">
        <f t="shared" si="251"/>
        <v>44.5</v>
      </c>
      <c r="S200" s="2">
        <f t="shared" si="252"/>
        <v>34.71</v>
      </c>
      <c r="T200" s="2">
        <f t="shared" si="253"/>
        <v>0</v>
      </c>
      <c r="U200" s="2">
        <f t="shared" si="254"/>
        <v>2.6698499999999994</v>
      </c>
      <c r="V200" s="2">
        <f t="shared" si="255"/>
        <v>0</v>
      </c>
      <c r="W200" s="2">
        <f t="shared" si="256"/>
        <v>0</v>
      </c>
      <c r="X200" s="2">
        <f t="shared" si="257"/>
        <v>55.88</v>
      </c>
      <c r="Y200" s="2">
        <f t="shared" si="258"/>
        <v>37.14</v>
      </c>
      <c r="Z200" s="2"/>
      <c r="AA200" s="2">
        <v>-1</v>
      </c>
      <c r="AB200" s="2">
        <f t="shared" si="259"/>
        <v>10.71</v>
      </c>
      <c r="AC200" s="2">
        <f t="shared" si="260"/>
        <v>1.52</v>
      </c>
      <c r="AD200" s="2">
        <f t="shared" si="261"/>
        <v>8.8000000000000007</v>
      </c>
      <c r="AE200" s="2">
        <f t="shared" si="262"/>
        <v>0.5</v>
      </c>
      <c r="AF200" s="2">
        <f t="shared" si="263"/>
        <v>0.39</v>
      </c>
      <c r="AG200" s="2">
        <f t="shared" si="264"/>
        <v>0</v>
      </c>
      <c r="AH200" s="2">
        <f t="shared" si="265"/>
        <v>0.03</v>
      </c>
      <c r="AI200" s="2">
        <f t="shared" si="266"/>
        <v>0</v>
      </c>
      <c r="AJ200" s="2">
        <f t="shared" si="267"/>
        <v>0</v>
      </c>
      <c r="AK200" s="2">
        <v>10.71</v>
      </c>
      <c r="AL200" s="2">
        <v>1.52</v>
      </c>
      <c r="AM200" s="2">
        <v>8.8000000000000007</v>
      </c>
      <c r="AN200" s="2">
        <v>0.5</v>
      </c>
      <c r="AO200" s="2">
        <v>0.39</v>
      </c>
      <c r="AP200" s="2">
        <v>0</v>
      </c>
      <c r="AQ200" s="2">
        <v>0.03</v>
      </c>
      <c r="AR200" s="2">
        <v>0</v>
      </c>
      <c r="AS200" s="2">
        <v>0</v>
      </c>
      <c r="AT200" s="2">
        <v>161</v>
      </c>
      <c r="AU200" s="2">
        <v>107</v>
      </c>
      <c r="AV200" s="2">
        <v>1.0469999999999999</v>
      </c>
      <c r="AW200" s="2">
        <v>1</v>
      </c>
      <c r="AX200" s="2"/>
      <c r="AY200" s="2"/>
      <c r="AZ200" s="2">
        <v>1</v>
      </c>
      <c r="BA200" s="2">
        <v>1</v>
      </c>
      <c r="BB200" s="2">
        <v>1</v>
      </c>
      <c r="BC200" s="2">
        <v>1</v>
      </c>
      <c r="BD200" s="2" t="s">
        <v>6</v>
      </c>
      <c r="BE200" s="2" t="s">
        <v>6</v>
      </c>
      <c r="BF200" s="2" t="s">
        <v>6</v>
      </c>
      <c r="BG200" s="2" t="s">
        <v>6</v>
      </c>
      <c r="BH200" s="2">
        <v>0</v>
      </c>
      <c r="BI200" s="2">
        <v>1</v>
      </c>
      <c r="BJ200" s="2" t="s">
        <v>259</v>
      </c>
      <c r="BK200" s="2"/>
      <c r="BL200" s="2"/>
      <c r="BM200" s="2">
        <v>169</v>
      </c>
      <c r="BN200" s="2">
        <v>0</v>
      </c>
      <c r="BO200" s="2" t="s">
        <v>6</v>
      </c>
      <c r="BP200" s="2">
        <v>0</v>
      </c>
      <c r="BQ200" s="2">
        <v>30</v>
      </c>
      <c r="BR200" s="2">
        <v>0</v>
      </c>
      <c r="BS200" s="2">
        <v>1</v>
      </c>
      <c r="BT200" s="2">
        <v>1</v>
      </c>
      <c r="BU200" s="2">
        <v>1</v>
      </c>
      <c r="BV200" s="2">
        <v>1</v>
      </c>
      <c r="BW200" s="2">
        <v>1</v>
      </c>
      <c r="BX200" s="2">
        <v>1</v>
      </c>
      <c r="BY200" s="2" t="s">
        <v>6</v>
      </c>
      <c r="BZ200" s="2">
        <v>161</v>
      </c>
      <c r="CA200" s="2">
        <v>107</v>
      </c>
      <c r="CB200" s="2" t="s">
        <v>6</v>
      </c>
      <c r="CC200" s="2"/>
      <c r="CD200" s="2"/>
      <c r="CE200" s="2">
        <v>30</v>
      </c>
      <c r="CF200" s="2">
        <v>0</v>
      </c>
      <c r="CG200" s="2">
        <v>0</v>
      </c>
      <c r="CH200" s="2"/>
      <c r="CI200" s="2"/>
      <c r="CJ200" s="2"/>
      <c r="CK200" s="2"/>
      <c r="CL200" s="2"/>
      <c r="CM200" s="2">
        <v>0</v>
      </c>
      <c r="CN200" s="2" t="s">
        <v>6</v>
      </c>
      <c r="CO200" s="2">
        <v>0</v>
      </c>
      <c r="CP200" s="2">
        <f t="shared" si="268"/>
        <v>947.06999999999994</v>
      </c>
      <c r="CQ200" s="2">
        <f t="shared" si="269"/>
        <v>1.52</v>
      </c>
      <c r="CR200" s="2">
        <f t="shared" si="270"/>
        <v>9.2100000000000009</v>
      </c>
      <c r="CS200" s="2">
        <f t="shared" si="271"/>
        <v>0.52</v>
      </c>
      <c r="CT200" s="2">
        <f t="shared" si="272"/>
        <v>0.41</v>
      </c>
      <c r="CU200" s="2">
        <f t="shared" si="273"/>
        <v>0</v>
      </c>
      <c r="CV200" s="2">
        <f t="shared" si="274"/>
        <v>3.1409999999999993E-2</v>
      </c>
      <c r="CW200" s="2">
        <f t="shared" si="275"/>
        <v>0</v>
      </c>
      <c r="CX200" s="2">
        <f t="shared" si="276"/>
        <v>0</v>
      </c>
      <c r="CY200" s="2">
        <f>((S200*BZ200)/100)</f>
        <v>55.883100000000006</v>
      </c>
      <c r="CZ200" s="2">
        <f>((S200*CA200)/100)</f>
        <v>37.139700000000005</v>
      </c>
      <c r="DA200" s="2"/>
      <c r="DB200" s="2"/>
      <c r="DC200" s="2" t="s">
        <v>6</v>
      </c>
      <c r="DD200" s="2" t="s">
        <v>6</v>
      </c>
      <c r="DE200" s="2" t="s">
        <v>6</v>
      </c>
      <c r="DF200" s="2" t="s">
        <v>6</v>
      </c>
      <c r="DG200" s="2" t="s">
        <v>6</v>
      </c>
      <c r="DH200" s="2" t="s">
        <v>6</v>
      </c>
      <c r="DI200" s="2" t="s">
        <v>6</v>
      </c>
      <c r="DJ200" s="2" t="s">
        <v>6</v>
      </c>
      <c r="DK200" s="2" t="s">
        <v>6</v>
      </c>
      <c r="DL200" s="2" t="s">
        <v>6</v>
      </c>
      <c r="DM200" s="2" t="s">
        <v>6</v>
      </c>
      <c r="DN200" s="2">
        <v>0</v>
      </c>
      <c r="DO200" s="2">
        <v>0</v>
      </c>
      <c r="DP200" s="2">
        <v>1</v>
      </c>
      <c r="DQ200" s="2">
        <v>1</v>
      </c>
      <c r="DR200" s="2"/>
      <c r="DS200" s="2"/>
      <c r="DT200" s="2"/>
      <c r="DU200" s="2">
        <v>1013</v>
      </c>
      <c r="DV200" s="2" t="s">
        <v>258</v>
      </c>
      <c r="DW200" s="2" t="s">
        <v>258</v>
      </c>
      <c r="DX200" s="2">
        <v>1</v>
      </c>
      <c r="DY200" s="2"/>
      <c r="DZ200" s="2" t="s">
        <v>6</v>
      </c>
      <c r="EA200" s="2" t="s">
        <v>6</v>
      </c>
      <c r="EB200" s="2" t="s">
        <v>6</v>
      </c>
      <c r="EC200" s="2" t="s">
        <v>6</v>
      </c>
      <c r="ED200" s="2"/>
      <c r="EE200" s="2">
        <v>69252794</v>
      </c>
      <c r="EF200" s="2">
        <v>30</v>
      </c>
      <c r="EG200" s="2" t="s">
        <v>29</v>
      </c>
      <c r="EH200" s="2">
        <v>0</v>
      </c>
      <c r="EI200" s="2" t="s">
        <v>6</v>
      </c>
      <c r="EJ200" s="2">
        <v>1</v>
      </c>
      <c r="EK200" s="2">
        <v>169</v>
      </c>
      <c r="EL200" s="2" t="s">
        <v>260</v>
      </c>
      <c r="EM200" s="2" t="s">
        <v>261</v>
      </c>
      <c r="EN200" s="2"/>
      <c r="EO200" s="2" t="s">
        <v>6</v>
      </c>
      <c r="EP200" s="2"/>
      <c r="EQ200" s="2">
        <v>1024</v>
      </c>
      <c r="ER200" s="2">
        <v>10.71</v>
      </c>
      <c r="ES200" s="2">
        <v>1.52</v>
      </c>
      <c r="ET200" s="2">
        <v>8.8000000000000007</v>
      </c>
      <c r="EU200" s="2">
        <v>0.5</v>
      </c>
      <c r="EV200" s="2">
        <v>0.39</v>
      </c>
      <c r="EW200" s="2">
        <v>0.03</v>
      </c>
      <c r="EX200" s="2">
        <v>0</v>
      </c>
      <c r="EY200" s="2">
        <v>0</v>
      </c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>
        <v>0</v>
      </c>
      <c r="FR200" s="2">
        <f t="shared" si="277"/>
        <v>0</v>
      </c>
      <c r="FS200" s="2">
        <v>0</v>
      </c>
      <c r="FT200" s="2"/>
      <c r="FU200" s="2"/>
      <c r="FV200" s="2"/>
      <c r="FW200" s="2"/>
      <c r="FX200" s="2">
        <v>161</v>
      </c>
      <c r="FY200" s="2">
        <v>107</v>
      </c>
      <c r="FZ200" s="2"/>
      <c r="GA200" s="2" t="s">
        <v>6</v>
      </c>
      <c r="GB200" s="2"/>
      <c r="GC200" s="2"/>
      <c r="GD200" s="2">
        <v>0</v>
      </c>
      <c r="GE200" s="2"/>
      <c r="GF200" s="2">
        <v>-2035690755</v>
      </c>
      <c r="GG200" s="2">
        <v>2</v>
      </c>
      <c r="GH200" s="2">
        <v>1</v>
      </c>
      <c r="GI200" s="2">
        <v>-2</v>
      </c>
      <c r="GJ200" s="2">
        <v>0</v>
      </c>
      <c r="GK200" s="2">
        <f>ROUND(R200*(R12)/100,2)</f>
        <v>77.88</v>
      </c>
      <c r="GL200" s="2">
        <f t="shared" si="278"/>
        <v>0</v>
      </c>
      <c r="GM200" s="2">
        <f t="shared" si="279"/>
        <v>1117.97</v>
      </c>
      <c r="GN200" s="2">
        <f t="shared" si="280"/>
        <v>1117.97</v>
      </c>
      <c r="GO200" s="2">
        <f t="shared" si="281"/>
        <v>0</v>
      </c>
      <c r="GP200" s="2">
        <f t="shared" si="282"/>
        <v>0</v>
      </c>
      <c r="GQ200" s="2"/>
      <c r="GR200" s="2">
        <v>0</v>
      </c>
      <c r="GS200" s="2">
        <v>3</v>
      </c>
      <c r="GT200" s="2">
        <v>0</v>
      </c>
      <c r="GU200" s="2" t="s">
        <v>6</v>
      </c>
      <c r="GV200" s="2">
        <f t="shared" si="283"/>
        <v>0</v>
      </c>
      <c r="GW200" s="2">
        <v>1</v>
      </c>
      <c r="GX200" s="2">
        <f t="shared" si="284"/>
        <v>0</v>
      </c>
      <c r="GY200" s="2"/>
      <c r="GZ200" s="2"/>
      <c r="HA200" s="2">
        <v>0</v>
      </c>
      <c r="HB200" s="2">
        <v>0</v>
      </c>
      <c r="HC200" s="2">
        <f t="shared" si="285"/>
        <v>0</v>
      </c>
      <c r="HD200" s="2"/>
      <c r="HE200" s="2" t="s">
        <v>6</v>
      </c>
      <c r="HF200" s="2" t="s">
        <v>6</v>
      </c>
      <c r="HG200" s="2"/>
      <c r="HH200" s="2"/>
      <c r="HI200" s="2"/>
      <c r="HJ200" s="2"/>
      <c r="HK200" s="2"/>
      <c r="HL200" s="2"/>
      <c r="HM200" s="2" t="s">
        <v>6</v>
      </c>
      <c r="HN200" s="2" t="s">
        <v>6</v>
      </c>
      <c r="HO200" s="2" t="s">
        <v>6</v>
      </c>
      <c r="HP200" s="2" t="s">
        <v>6</v>
      </c>
      <c r="HQ200" s="2" t="s">
        <v>6</v>
      </c>
      <c r="HR200" s="2"/>
      <c r="HS200" s="2"/>
      <c r="HT200" s="2"/>
      <c r="HU200" s="2"/>
      <c r="HV200" s="2"/>
      <c r="HW200" s="2"/>
      <c r="HX200" s="2"/>
      <c r="HY200" s="2"/>
      <c r="HZ200" s="2"/>
      <c r="IA200" s="2"/>
      <c r="IB200" s="2"/>
      <c r="IC200" s="2"/>
      <c r="ID200" s="2"/>
      <c r="IE200" s="2"/>
      <c r="IF200" s="2"/>
      <c r="IG200" s="2"/>
      <c r="IH200" s="2"/>
      <c r="II200" s="2"/>
      <c r="IJ200" s="2"/>
      <c r="IK200" s="2">
        <v>0</v>
      </c>
      <c r="IL200" s="2"/>
      <c r="IM200" s="2"/>
      <c r="IN200" s="2"/>
      <c r="IO200" s="2"/>
      <c r="IP200" s="2"/>
      <c r="IQ200" s="2"/>
      <c r="IR200" s="2"/>
      <c r="IS200" s="2"/>
      <c r="IT200" s="2"/>
      <c r="IU200" s="2"/>
    </row>
    <row r="201" spans="1:255">
      <c r="A201">
        <v>17</v>
      </c>
      <c r="B201">
        <v>1</v>
      </c>
      <c r="E201" t="s">
        <v>6</v>
      </c>
      <c r="F201" t="s">
        <v>256</v>
      </c>
      <c r="G201" t="s">
        <v>257</v>
      </c>
      <c r="H201" t="s">
        <v>258</v>
      </c>
      <c r="I201">
        <f>ROUND(85,9)</f>
        <v>85</v>
      </c>
      <c r="J201">
        <v>0</v>
      </c>
      <c r="K201">
        <f>ROUND(85,9)</f>
        <v>85</v>
      </c>
      <c r="O201">
        <f t="shared" si="248"/>
        <v>13074.6</v>
      </c>
      <c r="P201">
        <f t="shared" si="249"/>
        <v>1939.29</v>
      </c>
      <c r="Q201">
        <f t="shared" si="250"/>
        <v>9515.39</v>
      </c>
      <c r="R201">
        <f t="shared" si="251"/>
        <v>2076.8200000000002</v>
      </c>
      <c r="S201">
        <f t="shared" si="252"/>
        <v>1619.92</v>
      </c>
      <c r="T201">
        <f t="shared" si="253"/>
        <v>0</v>
      </c>
      <c r="U201">
        <f t="shared" si="254"/>
        <v>2.6698499999999994</v>
      </c>
      <c r="V201">
        <f t="shared" si="255"/>
        <v>0</v>
      </c>
      <c r="W201">
        <f t="shared" si="256"/>
        <v>0</v>
      </c>
      <c r="X201">
        <f t="shared" si="257"/>
        <v>2170.69</v>
      </c>
      <c r="Y201">
        <f t="shared" si="258"/>
        <v>890.96</v>
      </c>
      <c r="AA201">
        <v>-1</v>
      </c>
      <c r="AB201">
        <f t="shared" si="259"/>
        <v>10.71</v>
      </c>
      <c r="AC201">
        <f t="shared" si="260"/>
        <v>1.52</v>
      </c>
      <c r="AD201">
        <f t="shared" si="261"/>
        <v>8.8000000000000007</v>
      </c>
      <c r="AE201">
        <f t="shared" si="262"/>
        <v>0.5</v>
      </c>
      <c r="AF201">
        <f t="shared" si="263"/>
        <v>0.39</v>
      </c>
      <c r="AG201">
        <f t="shared" si="264"/>
        <v>0</v>
      </c>
      <c r="AH201">
        <f t="shared" si="265"/>
        <v>0.03</v>
      </c>
      <c r="AI201">
        <f t="shared" si="266"/>
        <v>0</v>
      </c>
      <c r="AJ201">
        <f t="shared" si="267"/>
        <v>0</v>
      </c>
      <c r="AK201">
        <v>10.71</v>
      </c>
      <c r="AL201">
        <v>1.52</v>
      </c>
      <c r="AM201">
        <v>8.8000000000000007</v>
      </c>
      <c r="AN201">
        <v>0.5</v>
      </c>
      <c r="AO201">
        <v>0.39</v>
      </c>
      <c r="AP201">
        <v>0</v>
      </c>
      <c r="AQ201">
        <v>0.03</v>
      </c>
      <c r="AR201">
        <v>0</v>
      </c>
      <c r="AS201">
        <v>0</v>
      </c>
      <c r="AT201">
        <v>134</v>
      </c>
      <c r="AU201">
        <v>55</v>
      </c>
      <c r="AV201">
        <v>1.0469999999999999</v>
      </c>
      <c r="AW201">
        <v>1</v>
      </c>
      <c r="AZ201">
        <v>1</v>
      </c>
      <c r="BA201">
        <v>46.67</v>
      </c>
      <c r="BB201">
        <v>12.15</v>
      </c>
      <c r="BC201">
        <v>15.01</v>
      </c>
      <c r="BD201" t="s">
        <v>6</v>
      </c>
      <c r="BE201" t="s">
        <v>6</v>
      </c>
      <c r="BF201" t="s">
        <v>6</v>
      </c>
      <c r="BG201" t="s">
        <v>6</v>
      </c>
      <c r="BH201">
        <v>0</v>
      </c>
      <c r="BI201">
        <v>1</v>
      </c>
      <c r="BJ201" t="s">
        <v>259</v>
      </c>
      <c r="BM201">
        <v>169</v>
      </c>
      <c r="BN201">
        <v>0</v>
      </c>
      <c r="BO201" t="s">
        <v>256</v>
      </c>
      <c r="BP201">
        <v>1</v>
      </c>
      <c r="BQ201">
        <v>30</v>
      </c>
      <c r="BR201">
        <v>0</v>
      </c>
      <c r="BS201">
        <v>46.67</v>
      </c>
      <c r="BT201">
        <v>1</v>
      </c>
      <c r="BU201">
        <v>1</v>
      </c>
      <c r="BV201">
        <v>1</v>
      </c>
      <c r="BW201">
        <v>1</v>
      </c>
      <c r="BX201">
        <v>1</v>
      </c>
      <c r="BY201" t="s">
        <v>6</v>
      </c>
      <c r="BZ201">
        <v>134</v>
      </c>
      <c r="CA201">
        <v>55</v>
      </c>
      <c r="CB201" t="s">
        <v>6</v>
      </c>
      <c r="CE201">
        <v>30</v>
      </c>
      <c r="CF201">
        <v>0</v>
      </c>
      <c r="CG201">
        <v>0</v>
      </c>
      <c r="CM201">
        <v>0</v>
      </c>
      <c r="CN201" t="s">
        <v>6</v>
      </c>
      <c r="CO201">
        <v>0</v>
      </c>
      <c r="CP201">
        <f t="shared" si="268"/>
        <v>13074.6</v>
      </c>
      <c r="CQ201">
        <f t="shared" si="269"/>
        <v>22.82</v>
      </c>
      <c r="CR201">
        <f t="shared" si="270"/>
        <v>111.9</v>
      </c>
      <c r="CS201">
        <f t="shared" si="271"/>
        <v>24.27</v>
      </c>
      <c r="CT201">
        <f t="shared" si="272"/>
        <v>19.13</v>
      </c>
      <c r="CU201">
        <f t="shared" si="273"/>
        <v>0</v>
      </c>
      <c r="CV201">
        <f t="shared" si="274"/>
        <v>3.1409999999999993E-2</v>
      </c>
      <c r="CW201">
        <f t="shared" si="275"/>
        <v>0</v>
      </c>
      <c r="CX201">
        <f t="shared" si="276"/>
        <v>0</v>
      </c>
      <c r="CY201">
        <f>S201*(BZ201/100)</f>
        <v>2170.6928000000003</v>
      </c>
      <c r="CZ201">
        <f>S201*(CA201/100)</f>
        <v>890.95600000000013</v>
      </c>
      <c r="DC201" t="s">
        <v>6</v>
      </c>
      <c r="DD201" t="s">
        <v>6</v>
      </c>
      <c r="DE201" t="s">
        <v>6</v>
      </c>
      <c r="DF201" t="s">
        <v>6</v>
      </c>
      <c r="DG201" t="s">
        <v>6</v>
      </c>
      <c r="DH201" t="s">
        <v>6</v>
      </c>
      <c r="DI201" t="s">
        <v>6</v>
      </c>
      <c r="DJ201" t="s">
        <v>6</v>
      </c>
      <c r="DK201" t="s">
        <v>6</v>
      </c>
      <c r="DL201" t="s">
        <v>6</v>
      </c>
      <c r="DM201" t="s">
        <v>6</v>
      </c>
      <c r="DN201">
        <v>161</v>
      </c>
      <c r="DO201">
        <v>107</v>
      </c>
      <c r="DP201">
        <v>1.0469999999999999</v>
      </c>
      <c r="DQ201">
        <v>1</v>
      </c>
      <c r="DU201">
        <v>1013</v>
      </c>
      <c r="DV201" t="s">
        <v>258</v>
      </c>
      <c r="DW201" t="s">
        <v>258</v>
      </c>
      <c r="DX201">
        <v>1</v>
      </c>
      <c r="DZ201" t="s">
        <v>6</v>
      </c>
      <c r="EA201" t="s">
        <v>6</v>
      </c>
      <c r="EB201" t="s">
        <v>6</v>
      </c>
      <c r="EC201" t="s">
        <v>6</v>
      </c>
      <c r="EE201">
        <v>69252794</v>
      </c>
      <c r="EF201">
        <v>30</v>
      </c>
      <c r="EG201" t="s">
        <v>29</v>
      </c>
      <c r="EH201">
        <v>0</v>
      </c>
      <c r="EI201" t="s">
        <v>6</v>
      </c>
      <c r="EJ201">
        <v>1</v>
      </c>
      <c r="EK201">
        <v>169</v>
      </c>
      <c r="EL201" t="s">
        <v>260</v>
      </c>
      <c r="EM201" t="s">
        <v>261</v>
      </c>
      <c r="EO201" t="s">
        <v>6</v>
      </c>
      <c r="EQ201">
        <v>1024</v>
      </c>
      <c r="ER201">
        <v>10.71</v>
      </c>
      <c r="ES201">
        <v>1.52</v>
      </c>
      <c r="ET201">
        <v>8.8000000000000007</v>
      </c>
      <c r="EU201">
        <v>0.5</v>
      </c>
      <c r="EV201">
        <v>0.39</v>
      </c>
      <c r="EW201">
        <v>0.03</v>
      </c>
      <c r="EX201">
        <v>0</v>
      </c>
      <c r="EY201">
        <v>0</v>
      </c>
      <c r="FQ201">
        <v>0</v>
      </c>
      <c r="FR201">
        <f t="shared" si="277"/>
        <v>0</v>
      </c>
      <c r="FS201">
        <v>0</v>
      </c>
      <c r="FX201">
        <v>161</v>
      </c>
      <c r="FY201">
        <v>107</v>
      </c>
      <c r="GA201" t="s">
        <v>6</v>
      </c>
      <c r="GD201">
        <v>0</v>
      </c>
      <c r="GF201">
        <v>-2035690755</v>
      </c>
      <c r="GG201">
        <v>2</v>
      </c>
      <c r="GH201">
        <v>1</v>
      </c>
      <c r="GI201">
        <v>2</v>
      </c>
      <c r="GJ201">
        <v>0</v>
      </c>
      <c r="GK201">
        <f>ROUND(R201*(S12)/100,2)</f>
        <v>3322.91</v>
      </c>
      <c r="GL201">
        <f t="shared" si="278"/>
        <v>0</v>
      </c>
      <c r="GM201">
        <f t="shared" si="279"/>
        <v>19459.16</v>
      </c>
      <c r="GN201">
        <f t="shared" si="280"/>
        <v>19459.16</v>
      </c>
      <c r="GO201">
        <f t="shared" si="281"/>
        <v>0</v>
      </c>
      <c r="GP201">
        <f t="shared" si="282"/>
        <v>0</v>
      </c>
      <c r="GR201">
        <v>0</v>
      </c>
      <c r="GS201">
        <v>0</v>
      </c>
      <c r="GT201">
        <v>0</v>
      </c>
      <c r="GU201" t="s">
        <v>6</v>
      </c>
      <c r="GV201">
        <f t="shared" si="283"/>
        <v>0</v>
      </c>
      <c r="GW201">
        <v>1</v>
      </c>
      <c r="GX201">
        <f t="shared" si="284"/>
        <v>0</v>
      </c>
      <c r="HA201">
        <v>0</v>
      </c>
      <c r="HB201">
        <v>0</v>
      </c>
      <c r="HC201">
        <f t="shared" si="285"/>
        <v>0</v>
      </c>
      <c r="HE201" t="s">
        <v>6</v>
      </c>
      <c r="HF201" t="s">
        <v>6</v>
      </c>
      <c r="HM201" t="s">
        <v>6</v>
      </c>
      <c r="HN201" t="s">
        <v>6</v>
      </c>
      <c r="HO201" t="s">
        <v>6</v>
      </c>
      <c r="HP201" t="s">
        <v>6</v>
      </c>
      <c r="HQ201" t="s">
        <v>6</v>
      </c>
      <c r="IK201">
        <v>0</v>
      </c>
    </row>
    <row r="202" spans="1:255">
      <c r="A202" s="2">
        <v>17</v>
      </c>
      <c r="B202" s="2">
        <v>1</v>
      </c>
      <c r="C202" s="2"/>
      <c r="D202" s="2"/>
      <c r="E202" s="2" t="s">
        <v>262</v>
      </c>
      <c r="F202" s="2" t="s">
        <v>217</v>
      </c>
      <c r="G202" s="2" t="s">
        <v>218</v>
      </c>
      <c r="H202" s="2" t="s">
        <v>219</v>
      </c>
      <c r="I202" s="2">
        <f>ROUND((5679)/100,9)</f>
        <v>56.79</v>
      </c>
      <c r="J202" s="2">
        <v>0</v>
      </c>
      <c r="K202" s="2">
        <f>ROUND((5679)/100,9)</f>
        <v>56.79</v>
      </c>
      <c r="L202" s="2"/>
      <c r="M202" s="2"/>
      <c r="N202" s="2"/>
      <c r="O202" s="2">
        <f t="shared" si="248"/>
        <v>38039.22</v>
      </c>
      <c r="P202" s="2">
        <f t="shared" si="249"/>
        <v>3284.17</v>
      </c>
      <c r="Q202" s="2">
        <f t="shared" si="250"/>
        <v>31653.07</v>
      </c>
      <c r="R202" s="2">
        <f t="shared" si="251"/>
        <v>2769.61</v>
      </c>
      <c r="S202" s="2">
        <f t="shared" si="252"/>
        <v>3101.98</v>
      </c>
      <c r="T202" s="2">
        <f t="shared" si="253"/>
        <v>0</v>
      </c>
      <c r="U202" s="2">
        <f t="shared" si="254"/>
        <v>255.07966769999999</v>
      </c>
      <c r="V202" s="2">
        <f t="shared" si="255"/>
        <v>0</v>
      </c>
      <c r="W202" s="2">
        <f t="shared" si="256"/>
        <v>0</v>
      </c>
      <c r="X202" s="2">
        <f t="shared" si="257"/>
        <v>4994.1899999999996</v>
      </c>
      <c r="Y202" s="2">
        <f t="shared" si="258"/>
        <v>3319.12</v>
      </c>
      <c r="Z202" s="2"/>
      <c r="AA202" s="2">
        <v>70322058</v>
      </c>
      <c r="AB202" s="2">
        <f t="shared" si="259"/>
        <v>642.35</v>
      </c>
      <c r="AC202" s="2">
        <f t="shared" si="260"/>
        <v>57.83</v>
      </c>
      <c r="AD202" s="2">
        <f t="shared" si="261"/>
        <v>532.35</v>
      </c>
      <c r="AE202" s="2">
        <f t="shared" si="262"/>
        <v>46.58</v>
      </c>
      <c r="AF202" s="2">
        <f t="shared" si="263"/>
        <v>52.17</v>
      </c>
      <c r="AG202" s="2">
        <f t="shared" si="264"/>
        <v>0</v>
      </c>
      <c r="AH202" s="2">
        <f t="shared" si="265"/>
        <v>4.29</v>
      </c>
      <c r="AI202" s="2">
        <f t="shared" si="266"/>
        <v>0</v>
      </c>
      <c r="AJ202" s="2">
        <f t="shared" si="267"/>
        <v>0</v>
      </c>
      <c r="AK202" s="2">
        <v>642.35</v>
      </c>
      <c r="AL202" s="2">
        <v>57.83</v>
      </c>
      <c r="AM202" s="2">
        <v>532.35</v>
      </c>
      <c r="AN202" s="2">
        <v>46.58</v>
      </c>
      <c r="AO202" s="2">
        <v>52.17</v>
      </c>
      <c r="AP202" s="2">
        <v>0</v>
      </c>
      <c r="AQ202" s="2">
        <v>4.29</v>
      </c>
      <c r="AR202" s="2">
        <v>0</v>
      </c>
      <c r="AS202" s="2">
        <v>0</v>
      </c>
      <c r="AT202" s="2">
        <v>161</v>
      </c>
      <c r="AU202" s="2">
        <v>107</v>
      </c>
      <c r="AV202" s="2">
        <v>1.0469999999999999</v>
      </c>
      <c r="AW202" s="2">
        <v>1</v>
      </c>
      <c r="AX202" s="2"/>
      <c r="AY202" s="2"/>
      <c r="AZ202" s="2">
        <v>1</v>
      </c>
      <c r="BA202" s="2">
        <v>1</v>
      </c>
      <c r="BB202" s="2">
        <v>1</v>
      </c>
      <c r="BC202" s="2">
        <v>1</v>
      </c>
      <c r="BD202" s="2" t="s">
        <v>6</v>
      </c>
      <c r="BE202" s="2" t="s">
        <v>6</v>
      </c>
      <c r="BF202" s="2" t="s">
        <v>6</v>
      </c>
      <c r="BG202" s="2" t="s">
        <v>6</v>
      </c>
      <c r="BH202" s="2">
        <v>0</v>
      </c>
      <c r="BI202" s="2">
        <v>1</v>
      </c>
      <c r="BJ202" s="2" t="s">
        <v>220</v>
      </c>
      <c r="BK202" s="2"/>
      <c r="BL202" s="2"/>
      <c r="BM202" s="2">
        <v>158</v>
      </c>
      <c r="BN202" s="2">
        <v>0</v>
      </c>
      <c r="BO202" s="2" t="s">
        <v>6</v>
      </c>
      <c r="BP202" s="2">
        <v>0</v>
      </c>
      <c r="BQ202" s="2">
        <v>30</v>
      </c>
      <c r="BR202" s="2">
        <v>0</v>
      </c>
      <c r="BS202" s="2">
        <v>1</v>
      </c>
      <c r="BT202" s="2">
        <v>1</v>
      </c>
      <c r="BU202" s="2">
        <v>1</v>
      </c>
      <c r="BV202" s="2">
        <v>1</v>
      </c>
      <c r="BW202" s="2">
        <v>1</v>
      </c>
      <c r="BX202" s="2">
        <v>1</v>
      </c>
      <c r="BY202" s="2" t="s">
        <v>6</v>
      </c>
      <c r="BZ202" s="2">
        <v>161</v>
      </c>
      <c r="CA202" s="2">
        <v>107</v>
      </c>
      <c r="CB202" s="2" t="s">
        <v>6</v>
      </c>
      <c r="CC202" s="2"/>
      <c r="CD202" s="2"/>
      <c r="CE202" s="2">
        <v>30</v>
      </c>
      <c r="CF202" s="2">
        <v>0</v>
      </c>
      <c r="CG202" s="2">
        <v>0</v>
      </c>
      <c r="CH202" s="2"/>
      <c r="CI202" s="2"/>
      <c r="CJ202" s="2"/>
      <c r="CK202" s="2"/>
      <c r="CL202" s="2"/>
      <c r="CM202" s="2">
        <v>0</v>
      </c>
      <c r="CN202" s="2" t="s">
        <v>6</v>
      </c>
      <c r="CO202" s="2">
        <v>0</v>
      </c>
      <c r="CP202" s="2">
        <f t="shared" si="268"/>
        <v>38039.22</v>
      </c>
      <c r="CQ202" s="2">
        <f t="shared" si="269"/>
        <v>57.83</v>
      </c>
      <c r="CR202" s="2">
        <f t="shared" si="270"/>
        <v>557.37</v>
      </c>
      <c r="CS202" s="2">
        <f t="shared" si="271"/>
        <v>48.77</v>
      </c>
      <c r="CT202" s="2">
        <f t="shared" si="272"/>
        <v>54.62</v>
      </c>
      <c r="CU202" s="2">
        <f t="shared" si="273"/>
        <v>0</v>
      </c>
      <c r="CV202" s="2">
        <f t="shared" si="274"/>
        <v>4.4916299999999998</v>
      </c>
      <c r="CW202" s="2">
        <f t="shared" si="275"/>
        <v>0</v>
      </c>
      <c r="CX202" s="2">
        <f t="shared" si="276"/>
        <v>0</v>
      </c>
      <c r="CY202" s="2">
        <f>((S202*BZ202)/100)</f>
        <v>4994.1878000000006</v>
      </c>
      <c r="CZ202" s="2">
        <f>((S202*CA202)/100)</f>
        <v>3319.1185999999998</v>
      </c>
      <c r="DA202" s="2"/>
      <c r="DB202" s="2"/>
      <c r="DC202" s="2" t="s">
        <v>6</v>
      </c>
      <c r="DD202" s="2" t="s">
        <v>6</v>
      </c>
      <c r="DE202" s="2" t="s">
        <v>6</v>
      </c>
      <c r="DF202" s="2" t="s">
        <v>6</v>
      </c>
      <c r="DG202" s="2" t="s">
        <v>6</v>
      </c>
      <c r="DH202" s="2" t="s">
        <v>6</v>
      </c>
      <c r="DI202" s="2" t="s">
        <v>6</v>
      </c>
      <c r="DJ202" s="2" t="s">
        <v>6</v>
      </c>
      <c r="DK202" s="2" t="s">
        <v>6</v>
      </c>
      <c r="DL202" s="2" t="s">
        <v>6</v>
      </c>
      <c r="DM202" s="2" t="s">
        <v>6</v>
      </c>
      <c r="DN202" s="2">
        <v>0</v>
      </c>
      <c r="DO202" s="2">
        <v>0</v>
      </c>
      <c r="DP202" s="2">
        <v>1</v>
      </c>
      <c r="DQ202" s="2">
        <v>1</v>
      </c>
      <c r="DR202" s="2"/>
      <c r="DS202" s="2"/>
      <c r="DT202" s="2"/>
      <c r="DU202" s="2">
        <v>1013</v>
      </c>
      <c r="DV202" s="2" t="s">
        <v>219</v>
      </c>
      <c r="DW202" s="2" t="s">
        <v>219</v>
      </c>
      <c r="DX202" s="2">
        <v>1</v>
      </c>
      <c r="DY202" s="2"/>
      <c r="DZ202" s="2" t="s">
        <v>6</v>
      </c>
      <c r="EA202" s="2" t="s">
        <v>6</v>
      </c>
      <c r="EB202" s="2" t="s">
        <v>6</v>
      </c>
      <c r="EC202" s="2" t="s">
        <v>6</v>
      </c>
      <c r="ED202" s="2"/>
      <c r="EE202" s="2">
        <v>69252783</v>
      </c>
      <c r="EF202" s="2">
        <v>30</v>
      </c>
      <c r="EG202" s="2" t="s">
        <v>29</v>
      </c>
      <c r="EH202" s="2">
        <v>0</v>
      </c>
      <c r="EI202" s="2" t="s">
        <v>6</v>
      </c>
      <c r="EJ202" s="2">
        <v>1</v>
      </c>
      <c r="EK202" s="2">
        <v>158</v>
      </c>
      <c r="EL202" s="2" t="s">
        <v>221</v>
      </c>
      <c r="EM202" s="2" t="s">
        <v>222</v>
      </c>
      <c r="EN202" s="2"/>
      <c r="EO202" s="2" t="s">
        <v>6</v>
      </c>
      <c r="EP202" s="2"/>
      <c r="EQ202" s="2">
        <v>0</v>
      </c>
      <c r="ER202" s="2">
        <v>642.35</v>
      </c>
      <c r="ES202" s="2">
        <v>57.83</v>
      </c>
      <c r="ET202" s="2">
        <v>532.35</v>
      </c>
      <c r="EU202" s="2">
        <v>46.58</v>
      </c>
      <c r="EV202" s="2">
        <v>52.17</v>
      </c>
      <c r="EW202" s="2">
        <v>4.29</v>
      </c>
      <c r="EX202" s="2">
        <v>0</v>
      </c>
      <c r="EY202" s="2">
        <v>0</v>
      </c>
      <c r="EZ202" s="2"/>
      <c r="FA202" s="2"/>
      <c r="FB202" s="2"/>
      <c r="FC202" s="2"/>
      <c r="FD202" s="2"/>
      <c r="FE202" s="2"/>
      <c r="FF202" s="2"/>
      <c r="FG202" s="2"/>
      <c r="FH202" s="2"/>
      <c r="FI202" s="2"/>
      <c r="FJ202" s="2"/>
      <c r="FK202" s="2"/>
      <c r="FL202" s="2"/>
      <c r="FM202" s="2"/>
      <c r="FN202" s="2"/>
      <c r="FO202" s="2"/>
      <c r="FP202" s="2"/>
      <c r="FQ202" s="2">
        <v>0</v>
      </c>
      <c r="FR202" s="2">
        <f t="shared" si="277"/>
        <v>0</v>
      </c>
      <c r="FS202" s="2">
        <v>0</v>
      </c>
      <c r="FT202" s="2"/>
      <c r="FU202" s="2"/>
      <c r="FV202" s="2"/>
      <c r="FW202" s="2"/>
      <c r="FX202" s="2">
        <v>161</v>
      </c>
      <c r="FY202" s="2">
        <v>107</v>
      </c>
      <c r="FZ202" s="2"/>
      <c r="GA202" s="2" t="s">
        <v>6</v>
      </c>
      <c r="GB202" s="2"/>
      <c r="GC202" s="2"/>
      <c r="GD202" s="2">
        <v>0</v>
      </c>
      <c r="GE202" s="2"/>
      <c r="GF202" s="2">
        <v>-46737233</v>
      </c>
      <c r="GG202" s="2">
        <v>2</v>
      </c>
      <c r="GH202" s="2">
        <v>1</v>
      </c>
      <c r="GI202" s="2">
        <v>-2</v>
      </c>
      <c r="GJ202" s="2">
        <v>0</v>
      </c>
      <c r="GK202" s="2">
        <f>ROUND(R202*(R12)/100,2)</f>
        <v>4846.82</v>
      </c>
      <c r="GL202" s="2">
        <f t="shared" si="278"/>
        <v>0</v>
      </c>
      <c r="GM202" s="2">
        <f t="shared" si="279"/>
        <v>51199.35</v>
      </c>
      <c r="GN202" s="2">
        <f t="shared" si="280"/>
        <v>51199.35</v>
      </c>
      <c r="GO202" s="2">
        <f t="shared" si="281"/>
        <v>0</v>
      </c>
      <c r="GP202" s="2">
        <f t="shared" si="282"/>
        <v>0</v>
      </c>
      <c r="GQ202" s="2"/>
      <c r="GR202" s="2">
        <v>0</v>
      </c>
      <c r="GS202" s="2">
        <v>3</v>
      </c>
      <c r="GT202" s="2">
        <v>0</v>
      </c>
      <c r="GU202" s="2" t="s">
        <v>6</v>
      </c>
      <c r="GV202" s="2">
        <f t="shared" si="283"/>
        <v>0</v>
      </c>
      <c r="GW202" s="2">
        <v>1</v>
      </c>
      <c r="GX202" s="2">
        <f t="shared" si="284"/>
        <v>0</v>
      </c>
      <c r="GY202" s="2"/>
      <c r="GZ202" s="2"/>
      <c r="HA202" s="2">
        <v>0</v>
      </c>
      <c r="HB202" s="2">
        <v>0</v>
      </c>
      <c r="HC202" s="2">
        <f t="shared" si="285"/>
        <v>0</v>
      </c>
      <c r="HD202" s="2"/>
      <c r="HE202" s="2" t="s">
        <v>6</v>
      </c>
      <c r="HF202" s="2" t="s">
        <v>6</v>
      </c>
      <c r="HG202" s="2"/>
      <c r="HH202" s="2"/>
      <c r="HI202" s="2"/>
      <c r="HJ202" s="2"/>
      <c r="HK202" s="2"/>
      <c r="HL202" s="2"/>
      <c r="HM202" s="2" t="s">
        <v>6</v>
      </c>
      <c r="HN202" s="2" t="s">
        <v>6</v>
      </c>
      <c r="HO202" s="2" t="s">
        <v>6</v>
      </c>
      <c r="HP202" s="2" t="s">
        <v>6</v>
      </c>
      <c r="HQ202" s="2" t="s">
        <v>6</v>
      </c>
      <c r="HR202" s="2"/>
      <c r="HS202" s="2"/>
      <c r="HT202" s="2"/>
      <c r="HU202" s="2"/>
      <c r="HV202" s="2"/>
      <c r="HW202" s="2"/>
      <c r="HX202" s="2"/>
      <c r="HY202" s="2"/>
      <c r="HZ202" s="2"/>
      <c r="IA202" s="2"/>
      <c r="IB202" s="2"/>
      <c r="IC202" s="2"/>
      <c r="ID202" s="2"/>
      <c r="IE202" s="2"/>
      <c r="IF202" s="2"/>
      <c r="IG202" s="2"/>
      <c r="IH202" s="2"/>
      <c r="II202" s="2"/>
      <c r="IJ202" s="2"/>
      <c r="IK202" s="2">
        <v>0</v>
      </c>
      <c r="IL202" s="2"/>
      <c r="IM202" s="2"/>
      <c r="IN202" s="2"/>
      <c r="IO202" s="2"/>
      <c r="IP202" s="2"/>
      <c r="IQ202" s="2"/>
      <c r="IR202" s="2"/>
      <c r="IS202" s="2"/>
      <c r="IT202" s="2"/>
      <c r="IU202" s="2"/>
    </row>
    <row r="203" spans="1:255">
      <c r="A203">
        <v>17</v>
      </c>
      <c r="B203">
        <v>1</v>
      </c>
      <c r="E203" t="s">
        <v>262</v>
      </c>
      <c r="F203" t="s">
        <v>217</v>
      </c>
      <c r="G203" t="s">
        <v>218</v>
      </c>
      <c r="H203" t="s">
        <v>219</v>
      </c>
      <c r="I203">
        <f>ROUND((5679)/100,9)</f>
        <v>56.79</v>
      </c>
      <c r="J203">
        <v>0</v>
      </c>
      <c r="K203">
        <f>ROUND((5679)/100,9)</f>
        <v>56.79</v>
      </c>
      <c r="O203">
        <f t="shared" si="248"/>
        <v>624318.86</v>
      </c>
      <c r="P203">
        <f t="shared" si="249"/>
        <v>53499.13</v>
      </c>
      <c r="Q203">
        <f t="shared" si="250"/>
        <v>426050.32</v>
      </c>
      <c r="R203">
        <f t="shared" si="251"/>
        <v>129257.7</v>
      </c>
      <c r="S203">
        <f t="shared" si="252"/>
        <v>144769.41</v>
      </c>
      <c r="T203">
        <f t="shared" si="253"/>
        <v>0</v>
      </c>
      <c r="U203">
        <f t="shared" si="254"/>
        <v>255.07966769999999</v>
      </c>
      <c r="V203">
        <f t="shared" si="255"/>
        <v>0</v>
      </c>
      <c r="W203">
        <f t="shared" si="256"/>
        <v>0</v>
      </c>
      <c r="X203">
        <f t="shared" si="257"/>
        <v>193991.01</v>
      </c>
      <c r="Y203">
        <f t="shared" si="258"/>
        <v>79623.179999999993</v>
      </c>
      <c r="AA203">
        <v>70322059</v>
      </c>
      <c r="AB203">
        <f t="shared" si="259"/>
        <v>642.35</v>
      </c>
      <c r="AC203">
        <f t="shared" si="260"/>
        <v>57.83</v>
      </c>
      <c r="AD203">
        <f t="shared" si="261"/>
        <v>532.35</v>
      </c>
      <c r="AE203">
        <f t="shared" si="262"/>
        <v>46.58</v>
      </c>
      <c r="AF203">
        <f t="shared" si="263"/>
        <v>52.17</v>
      </c>
      <c r="AG203">
        <f t="shared" si="264"/>
        <v>0</v>
      </c>
      <c r="AH203">
        <f t="shared" si="265"/>
        <v>4.29</v>
      </c>
      <c r="AI203">
        <f t="shared" si="266"/>
        <v>0</v>
      </c>
      <c r="AJ203">
        <f t="shared" si="267"/>
        <v>0</v>
      </c>
      <c r="AK203">
        <v>642.35</v>
      </c>
      <c r="AL203">
        <v>57.83</v>
      </c>
      <c r="AM203">
        <v>532.35</v>
      </c>
      <c r="AN203">
        <v>46.58</v>
      </c>
      <c r="AO203">
        <v>52.17</v>
      </c>
      <c r="AP203">
        <v>0</v>
      </c>
      <c r="AQ203">
        <v>4.29</v>
      </c>
      <c r="AR203">
        <v>0</v>
      </c>
      <c r="AS203">
        <v>0</v>
      </c>
      <c r="AT203">
        <v>134</v>
      </c>
      <c r="AU203">
        <v>55</v>
      </c>
      <c r="AV203">
        <v>1.0469999999999999</v>
      </c>
      <c r="AW203">
        <v>1</v>
      </c>
      <c r="AZ203">
        <v>1</v>
      </c>
      <c r="BA203">
        <v>46.67</v>
      </c>
      <c r="BB203">
        <v>13.46</v>
      </c>
      <c r="BC203">
        <v>16.29</v>
      </c>
      <c r="BD203" t="s">
        <v>6</v>
      </c>
      <c r="BE203" t="s">
        <v>6</v>
      </c>
      <c r="BF203" t="s">
        <v>6</v>
      </c>
      <c r="BG203" t="s">
        <v>6</v>
      </c>
      <c r="BH203">
        <v>0</v>
      </c>
      <c r="BI203">
        <v>1</v>
      </c>
      <c r="BJ203" t="s">
        <v>220</v>
      </c>
      <c r="BM203">
        <v>158</v>
      </c>
      <c r="BN203">
        <v>0</v>
      </c>
      <c r="BO203" t="s">
        <v>217</v>
      </c>
      <c r="BP203">
        <v>1</v>
      </c>
      <c r="BQ203">
        <v>30</v>
      </c>
      <c r="BR203">
        <v>0</v>
      </c>
      <c r="BS203">
        <v>46.67</v>
      </c>
      <c r="BT203">
        <v>1</v>
      </c>
      <c r="BU203">
        <v>1</v>
      </c>
      <c r="BV203">
        <v>1</v>
      </c>
      <c r="BW203">
        <v>1</v>
      </c>
      <c r="BX203">
        <v>1</v>
      </c>
      <c r="BY203" t="s">
        <v>6</v>
      </c>
      <c r="BZ203">
        <v>134</v>
      </c>
      <c r="CA203">
        <v>55</v>
      </c>
      <c r="CB203" t="s">
        <v>6</v>
      </c>
      <c r="CE203">
        <v>30</v>
      </c>
      <c r="CF203">
        <v>0</v>
      </c>
      <c r="CG203">
        <v>0</v>
      </c>
      <c r="CM203">
        <v>0</v>
      </c>
      <c r="CN203" t="s">
        <v>6</v>
      </c>
      <c r="CO203">
        <v>0</v>
      </c>
      <c r="CP203">
        <f t="shared" si="268"/>
        <v>624318.86</v>
      </c>
      <c r="CQ203">
        <f t="shared" si="269"/>
        <v>942.05</v>
      </c>
      <c r="CR203">
        <f t="shared" si="270"/>
        <v>7502.2</v>
      </c>
      <c r="CS203">
        <f t="shared" si="271"/>
        <v>2276.1</v>
      </c>
      <c r="CT203">
        <f t="shared" si="272"/>
        <v>2549.12</v>
      </c>
      <c r="CU203">
        <f t="shared" si="273"/>
        <v>0</v>
      </c>
      <c r="CV203">
        <f t="shared" si="274"/>
        <v>4.4916299999999998</v>
      </c>
      <c r="CW203">
        <f t="shared" si="275"/>
        <v>0</v>
      </c>
      <c r="CX203">
        <f t="shared" si="276"/>
        <v>0</v>
      </c>
      <c r="CY203">
        <f>S203*(BZ203/100)</f>
        <v>193991.00940000001</v>
      </c>
      <c r="CZ203">
        <f>S203*(CA203/100)</f>
        <v>79623.175500000012</v>
      </c>
      <c r="DC203" t="s">
        <v>6</v>
      </c>
      <c r="DD203" t="s">
        <v>6</v>
      </c>
      <c r="DE203" t="s">
        <v>6</v>
      </c>
      <c r="DF203" t="s">
        <v>6</v>
      </c>
      <c r="DG203" t="s">
        <v>6</v>
      </c>
      <c r="DH203" t="s">
        <v>6</v>
      </c>
      <c r="DI203" t="s">
        <v>6</v>
      </c>
      <c r="DJ203" t="s">
        <v>6</v>
      </c>
      <c r="DK203" t="s">
        <v>6</v>
      </c>
      <c r="DL203" t="s">
        <v>6</v>
      </c>
      <c r="DM203" t="s">
        <v>6</v>
      </c>
      <c r="DN203">
        <v>161</v>
      </c>
      <c r="DO203">
        <v>107</v>
      </c>
      <c r="DP203">
        <v>1.0469999999999999</v>
      </c>
      <c r="DQ203">
        <v>1</v>
      </c>
      <c r="DU203">
        <v>1013</v>
      </c>
      <c r="DV203" t="s">
        <v>219</v>
      </c>
      <c r="DW203" t="s">
        <v>219</v>
      </c>
      <c r="DX203">
        <v>1</v>
      </c>
      <c r="DZ203" t="s">
        <v>6</v>
      </c>
      <c r="EA203" t="s">
        <v>6</v>
      </c>
      <c r="EB203" t="s">
        <v>6</v>
      </c>
      <c r="EC203" t="s">
        <v>6</v>
      </c>
      <c r="EE203">
        <v>69252783</v>
      </c>
      <c r="EF203">
        <v>30</v>
      </c>
      <c r="EG203" t="s">
        <v>29</v>
      </c>
      <c r="EH203">
        <v>0</v>
      </c>
      <c r="EI203" t="s">
        <v>6</v>
      </c>
      <c r="EJ203">
        <v>1</v>
      </c>
      <c r="EK203">
        <v>158</v>
      </c>
      <c r="EL203" t="s">
        <v>221</v>
      </c>
      <c r="EM203" t="s">
        <v>222</v>
      </c>
      <c r="EO203" t="s">
        <v>6</v>
      </c>
      <c r="EQ203">
        <v>0</v>
      </c>
      <c r="ER203">
        <v>642.35</v>
      </c>
      <c r="ES203">
        <v>57.83</v>
      </c>
      <c r="ET203">
        <v>532.35</v>
      </c>
      <c r="EU203">
        <v>46.58</v>
      </c>
      <c r="EV203">
        <v>52.17</v>
      </c>
      <c r="EW203">
        <v>4.29</v>
      </c>
      <c r="EX203">
        <v>0</v>
      </c>
      <c r="EY203">
        <v>0</v>
      </c>
      <c r="FQ203">
        <v>0</v>
      </c>
      <c r="FR203">
        <f t="shared" si="277"/>
        <v>0</v>
      </c>
      <c r="FS203">
        <v>0</v>
      </c>
      <c r="FX203">
        <v>161</v>
      </c>
      <c r="FY203">
        <v>107</v>
      </c>
      <c r="GA203" t="s">
        <v>6</v>
      </c>
      <c r="GD203">
        <v>0</v>
      </c>
      <c r="GF203">
        <v>-46737233</v>
      </c>
      <c r="GG203">
        <v>2</v>
      </c>
      <c r="GH203">
        <v>1</v>
      </c>
      <c r="GI203">
        <v>2</v>
      </c>
      <c r="GJ203">
        <v>0</v>
      </c>
      <c r="GK203">
        <f>ROUND(R203*(S12)/100,2)</f>
        <v>206812.32</v>
      </c>
      <c r="GL203">
        <f t="shared" si="278"/>
        <v>0</v>
      </c>
      <c r="GM203">
        <f t="shared" si="279"/>
        <v>1104745.3700000001</v>
      </c>
      <c r="GN203">
        <f t="shared" si="280"/>
        <v>1104745.3700000001</v>
      </c>
      <c r="GO203">
        <f t="shared" si="281"/>
        <v>0</v>
      </c>
      <c r="GP203">
        <f t="shared" si="282"/>
        <v>0</v>
      </c>
      <c r="GR203">
        <v>0</v>
      </c>
      <c r="GS203">
        <v>0</v>
      </c>
      <c r="GT203">
        <v>0</v>
      </c>
      <c r="GU203" t="s">
        <v>6</v>
      </c>
      <c r="GV203">
        <f t="shared" si="283"/>
        <v>0</v>
      </c>
      <c r="GW203">
        <v>1</v>
      </c>
      <c r="GX203">
        <f t="shared" si="284"/>
        <v>0</v>
      </c>
      <c r="HA203">
        <v>0</v>
      </c>
      <c r="HB203">
        <v>0</v>
      </c>
      <c r="HC203">
        <f t="shared" si="285"/>
        <v>0</v>
      </c>
      <c r="HE203" t="s">
        <v>6</v>
      </c>
      <c r="HF203" t="s">
        <v>6</v>
      </c>
      <c r="HM203" t="s">
        <v>6</v>
      </c>
      <c r="HN203" t="s">
        <v>6</v>
      </c>
      <c r="HO203" t="s">
        <v>6</v>
      </c>
      <c r="HP203" t="s">
        <v>6</v>
      </c>
      <c r="HQ203" t="s">
        <v>6</v>
      </c>
      <c r="IK203">
        <v>0</v>
      </c>
    </row>
    <row r="204" spans="1:255">
      <c r="A204" s="2">
        <v>18</v>
      </c>
      <c r="B204" s="2">
        <v>1</v>
      </c>
      <c r="C204" s="2"/>
      <c r="D204" s="2"/>
      <c r="E204" s="2" t="s">
        <v>263</v>
      </c>
      <c r="F204" s="2" t="s">
        <v>239</v>
      </c>
      <c r="G204" s="2" t="s">
        <v>240</v>
      </c>
      <c r="H204" s="2" t="s">
        <v>226</v>
      </c>
      <c r="I204" s="2">
        <f>I202*J204</f>
        <v>548.59140000000002</v>
      </c>
      <c r="J204" s="2">
        <v>9.66</v>
      </c>
      <c r="K204" s="2">
        <v>9.66</v>
      </c>
      <c r="L204" s="2"/>
      <c r="M204" s="2"/>
      <c r="N204" s="2"/>
      <c r="O204" s="2">
        <f t="shared" si="248"/>
        <v>174062.57</v>
      </c>
      <c r="P204" s="2">
        <f t="shared" si="249"/>
        <v>174062.57</v>
      </c>
      <c r="Q204" s="2">
        <f t="shared" si="250"/>
        <v>0</v>
      </c>
      <c r="R204" s="2">
        <f t="shared" si="251"/>
        <v>0</v>
      </c>
      <c r="S204" s="2">
        <f t="shared" si="252"/>
        <v>0</v>
      </c>
      <c r="T204" s="2">
        <f t="shared" si="253"/>
        <v>0</v>
      </c>
      <c r="U204" s="2">
        <f t="shared" si="254"/>
        <v>0</v>
      </c>
      <c r="V204" s="2">
        <f t="shared" si="255"/>
        <v>0</v>
      </c>
      <c r="W204" s="2">
        <f t="shared" si="256"/>
        <v>0</v>
      </c>
      <c r="X204" s="2">
        <f t="shared" si="257"/>
        <v>0</v>
      </c>
      <c r="Y204" s="2">
        <f t="shared" si="258"/>
        <v>0</v>
      </c>
      <c r="Z204" s="2"/>
      <c r="AA204" s="2">
        <v>70322058</v>
      </c>
      <c r="AB204" s="2">
        <f t="shared" si="259"/>
        <v>317.29000000000002</v>
      </c>
      <c r="AC204" s="2">
        <f t="shared" si="260"/>
        <v>317.29000000000002</v>
      </c>
      <c r="AD204" s="2">
        <f t="shared" si="261"/>
        <v>0</v>
      </c>
      <c r="AE204" s="2">
        <f t="shared" si="262"/>
        <v>0</v>
      </c>
      <c r="AF204" s="2">
        <f t="shared" si="263"/>
        <v>0</v>
      </c>
      <c r="AG204" s="2">
        <f t="shared" si="264"/>
        <v>0</v>
      </c>
      <c r="AH204" s="2">
        <f t="shared" si="265"/>
        <v>0</v>
      </c>
      <c r="AI204" s="2">
        <f t="shared" si="266"/>
        <v>0</v>
      </c>
      <c r="AJ204" s="2">
        <f t="shared" si="267"/>
        <v>0</v>
      </c>
      <c r="AK204" s="2">
        <v>317.29000000000002</v>
      </c>
      <c r="AL204" s="2">
        <v>317.29000000000002</v>
      </c>
      <c r="AM204" s="2">
        <v>0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161</v>
      </c>
      <c r="AU204" s="2">
        <v>107</v>
      </c>
      <c r="AV204" s="2">
        <v>1.0469999999999999</v>
      </c>
      <c r="AW204" s="2">
        <v>1</v>
      </c>
      <c r="AX204" s="2"/>
      <c r="AY204" s="2"/>
      <c r="AZ204" s="2">
        <v>1</v>
      </c>
      <c r="BA204" s="2">
        <v>1</v>
      </c>
      <c r="BB204" s="2">
        <v>1</v>
      </c>
      <c r="BC204" s="2">
        <v>1</v>
      </c>
      <c r="BD204" s="2" t="s">
        <v>6</v>
      </c>
      <c r="BE204" s="2" t="s">
        <v>6</v>
      </c>
      <c r="BF204" s="2" t="s">
        <v>6</v>
      </c>
      <c r="BG204" s="2" t="s">
        <v>6</v>
      </c>
      <c r="BH204" s="2">
        <v>3</v>
      </c>
      <c r="BI204" s="2">
        <v>1</v>
      </c>
      <c r="BJ204" s="2" t="s">
        <v>241</v>
      </c>
      <c r="BK204" s="2"/>
      <c r="BL204" s="2"/>
      <c r="BM204" s="2">
        <v>158</v>
      </c>
      <c r="BN204" s="2">
        <v>0</v>
      </c>
      <c r="BO204" s="2" t="s">
        <v>6</v>
      </c>
      <c r="BP204" s="2">
        <v>0</v>
      </c>
      <c r="BQ204" s="2">
        <v>30</v>
      </c>
      <c r="BR204" s="2">
        <v>0</v>
      </c>
      <c r="BS204" s="2">
        <v>1</v>
      </c>
      <c r="BT204" s="2">
        <v>1</v>
      </c>
      <c r="BU204" s="2">
        <v>1</v>
      </c>
      <c r="BV204" s="2">
        <v>1</v>
      </c>
      <c r="BW204" s="2">
        <v>1</v>
      </c>
      <c r="BX204" s="2">
        <v>1</v>
      </c>
      <c r="BY204" s="2" t="s">
        <v>6</v>
      </c>
      <c r="BZ204" s="2">
        <v>161</v>
      </c>
      <c r="CA204" s="2">
        <v>107</v>
      </c>
      <c r="CB204" s="2" t="s">
        <v>6</v>
      </c>
      <c r="CC204" s="2"/>
      <c r="CD204" s="2"/>
      <c r="CE204" s="2">
        <v>30</v>
      </c>
      <c r="CF204" s="2">
        <v>0</v>
      </c>
      <c r="CG204" s="2">
        <v>0</v>
      </c>
      <c r="CH204" s="2"/>
      <c r="CI204" s="2"/>
      <c r="CJ204" s="2"/>
      <c r="CK204" s="2"/>
      <c r="CL204" s="2"/>
      <c r="CM204" s="2">
        <v>0</v>
      </c>
      <c r="CN204" s="2" t="s">
        <v>6</v>
      </c>
      <c r="CO204" s="2">
        <v>0</v>
      </c>
      <c r="CP204" s="2">
        <f t="shared" si="268"/>
        <v>174062.57</v>
      </c>
      <c r="CQ204" s="2">
        <f t="shared" si="269"/>
        <v>317.29000000000002</v>
      </c>
      <c r="CR204" s="2">
        <f t="shared" si="270"/>
        <v>0</v>
      </c>
      <c r="CS204" s="2">
        <f t="shared" si="271"/>
        <v>0</v>
      </c>
      <c r="CT204" s="2">
        <f t="shared" si="272"/>
        <v>0</v>
      </c>
      <c r="CU204" s="2">
        <f t="shared" si="273"/>
        <v>0</v>
      </c>
      <c r="CV204" s="2">
        <f t="shared" si="274"/>
        <v>0</v>
      </c>
      <c r="CW204" s="2">
        <f t="shared" si="275"/>
        <v>0</v>
      </c>
      <c r="CX204" s="2">
        <f t="shared" si="276"/>
        <v>0</v>
      </c>
      <c r="CY204" s="2">
        <f>((S204*BZ204)/100)</f>
        <v>0</v>
      </c>
      <c r="CZ204" s="2">
        <f>((S204*CA204)/100)</f>
        <v>0</v>
      </c>
      <c r="DA204" s="2"/>
      <c r="DB204" s="2"/>
      <c r="DC204" s="2" t="s">
        <v>6</v>
      </c>
      <c r="DD204" s="2" t="s">
        <v>6</v>
      </c>
      <c r="DE204" s="2" t="s">
        <v>6</v>
      </c>
      <c r="DF204" s="2" t="s">
        <v>6</v>
      </c>
      <c r="DG204" s="2" t="s">
        <v>6</v>
      </c>
      <c r="DH204" s="2" t="s">
        <v>6</v>
      </c>
      <c r="DI204" s="2" t="s">
        <v>6</v>
      </c>
      <c r="DJ204" s="2" t="s">
        <v>6</v>
      </c>
      <c r="DK204" s="2" t="s">
        <v>6</v>
      </c>
      <c r="DL204" s="2" t="s">
        <v>6</v>
      </c>
      <c r="DM204" s="2" t="s">
        <v>6</v>
      </c>
      <c r="DN204" s="2">
        <v>0</v>
      </c>
      <c r="DO204" s="2">
        <v>0</v>
      </c>
      <c r="DP204" s="2">
        <v>1</v>
      </c>
      <c r="DQ204" s="2">
        <v>1</v>
      </c>
      <c r="DR204" s="2"/>
      <c r="DS204" s="2"/>
      <c r="DT204" s="2"/>
      <c r="DU204" s="2">
        <v>1009</v>
      </c>
      <c r="DV204" s="2" t="s">
        <v>226</v>
      </c>
      <c r="DW204" s="2" t="s">
        <v>226</v>
      </c>
      <c r="DX204" s="2">
        <v>1000</v>
      </c>
      <c r="DY204" s="2"/>
      <c r="DZ204" s="2" t="s">
        <v>6</v>
      </c>
      <c r="EA204" s="2" t="s">
        <v>6</v>
      </c>
      <c r="EB204" s="2" t="s">
        <v>6</v>
      </c>
      <c r="EC204" s="2" t="s">
        <v>6</v>
      </c>
      <c r="ED204" s="2"/>
      <c r="EE204" s="2">
        <v>69252783</v>
      </c>
      <c r="EF204" s="2">
        <v>30</v>
      </c>
      <c r="EG204" s="2" t="s">
        <v>29</v>
      </c>
      <c r="EH204" s="2">
        <v>0</v>
      </c>
      <c r="EI204" s="2" t="s">
        <v>6</v>
      </c>
      <c r="EJ204" s="2">
        <v>1</v>
      </c>
      <c r="EK204" s="2">
        <v>158</v>
      </c>
      <c r="EL204" s="2" t="s">
        <v>221</v>
      </c>
      <c r="EM204" s="2" t="s">
        <v>222</v>
      </c>
      <c r="EN204" s="2"/>
      <c r="EO204" s="2" t="s">
        <v>6</v>
      </c>
      <c r="EP204" s="2"/>
      <c r="EQ204" s="2">
        <v>0</v>
      </c>
      <c r="ER204" s="2">
        <v>317.29000000000002</v>
      </c>
      <c r="ES204" s="2">
        <v>317.29000000000002</v>
      </c>
      <c r="ET204" s="2">
        <v>0</v>
      </c>
      <c r="EU204" s="2">
        <v>0</v>
      </c>
      <c r="EV204" s="2">
        <v>0</v>
      </c>
      <c r="EW204" s="2">
        <v>0</v>
      </c>
      <c r="EX204" s="2">
        <v>0</v>
      </c>
      <c r="EY204" s="2"/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>
        <v>0</v>
      </c>
      <c r="FR204" s="2">
        <f t="shared" si="277"/>
        <v>0</v>
      </c>
      <c r="FS204" s="2">
        <v>0</v>
      </c>
      <c r="FT204" s="2"/>
      <c r="FU204" s="2"/>
      <c r="FV204" s="2"/>
      <c r="FW204" s="2"/>
      <c r="FX204" s="2">
        <v>161</v>
      </c>
      <c r="FY204" s="2">
        <v>107</v>
      </c>
      <c r="FZ204" s="2"/>
      <c r="GA204" s="2" t="s">
        <v>6</v>
      </c>
      <c r="GB204" s="2"/>
      <c r="GC204" s="2"/>
      <c r="GD204" s="2">
        <v>0</v>
      </c>
      <c r="GE204" s="2"/>
      <c r="GF204" s="2">
        <v>883834222</v>
      </c>
      <c r="GG204" s="2">
        <v>2</v>
      </c>
      <c r="GH204" s="2">
        <v>1</v>
      </c>
      <c r="GI204" s="2">
        <v>-2</v>
      </c>
      <c r="GJ204" s="2">
        <v>0</v>
      </c>
      <c r="GK204" s="2">
        <f>ROUND(R204*(R12)/100,2)</f>
        <v>0</v>
      </c>
      <c r="GL204" s="2">
        <f t="shared" si="278"/>
        <v>0</v>
      </c>
      <c r="GM204" s="2">
        <f t="shared" si="279"/>
        <v>174062.57</v>
      </c>
      <c r="GN204" s="2">
        <f t="shared" si="280"/>
        <v>174062.57</v>
      </c>
      <c r="GO204" s="2">
        <f t="shared" si="281"/>
        <v>0</v>
      </c>
      <c r="GP204" s="2">
        <f t="shared" si="282"/>
        <v>0</v>
      </c>
      <c r="GQ204" s="2"/>
      <c r="GR204" s="2">
        <v>0</v>
      </c>
      <c r="GS204" s="2">
        <v>3</v>
      </c>
      <c r="GT204" s="2">
        <v>0</v>
      </c>
      <c r="GU204" s="2" t="s">
        <v>6</v>
      </c>
      <c r="GV204" s="2">
        <f t="shared" si="283"/>
        <v>0</v>
      </c>
      <c r="GW204" s="2">
        <v>1</v>
      </c>
      <c r="GX204" s="2">
        <f t="shared" si="284"/>
        <v>0</v>
      </c>
      <c r="GY204" s="2"/>
      <c r="GZ204" s="2"/>
      <c r="HA204" s="2">
        <v>0</v>
      </c>
      <c r="HB204" s="2">
        <v>0</v>
      </c>
      <c r="HC204" s="2">
        <f t="shared" si="285"/>
        <v>0</v>
      </c>
      <c r="HD204" s="2"/>
      <c r="HE204" s="2" t="s">
        <v>6</v>
      </c>
      <c r="HF204" s="2" t="s">
        <v>6</v>
      </c>
      <c r="HG204" s="2"/>
      <c r="HH204" s="2"/>
      <c r="HI204" s="2"/>
      <c r="HJ204" s="2"/>
      <c r="HK204" s="2"/>
      <c r="HL204" s="2"/>
      <c r="HM204" s="2" t="s">
        <v>6</v>
      </c>
      <c r="HN204" s="2" t="s">
        <v>6</v>
      </c>
      <c r="HO204" s="2" t="s">
        <v>6</v>
      </c>
      <c r="HP204" s="2" t="s">
        <v>6</v>
      </c>
      <c r="HQ204" s="2" t="s">
        <v>6</v>
      </c>
      <c r="HR204" s="2"/>
      <c r="HS204" s="2"/>
      <c r="HT204" s="2"/>
      <c r="HU204" s="2"/>
      <c r="HV204" s="2"/>
      <c r="HW204" s="2"/>
      <c r="HX204" s="2"/>
      <c r="HY204" s="2"/>
      <c r="HZ204" s="2"/>
      <c r="IA204" s="2"/>
      <c r="IB204" s="2"/>
      <c r="IC204" s="2"/>
      <c r="ID204" s="2"/>
      <c r="IE204" s="2"/>
      <c r="IF204" s="2"/>
      <c r="IG204" s="2"/>
      <c r="IH204" s="2"/>
      <c r="II204" s="2"/>
      <c r="IJ204" s="2"/>
      <c r="IK204" s="2">
        <v>0</v>
      </c>
      <c r="IL204" s="2"/>
      <c r="IM204" s="2"/>
      <c r="IN204" s="2"/>
      <c r="IO204" s="2"/>
      <c r="IP204" s="2"/>
      <c r="IQ204" s="2"/>
      <c r="IR204" s="2"/>
      <c r="IS204" s="2"/>
      <c r="IT204" s="2"/>
      <c r="IU204" s="2"/>
    </row>
    <row r="205" spans="1:255">
      <c r="A205">
        <v>18</v>
      </c>
      <c r="B205">
        <v>1</v>
      </c>
      <c r="E205" t="s">
        <v>263</v>
      </c>
      <c r="F205" t="s">
        <v>239</v>
      </c>
      <c r="G205" t="s">
        <v>240</v>
      </c>
      <c r="H205" t="s">
        <v>226</v>
      </c>
      <c r="I205">
        <f>I203*J205</f>
        <v>548.59140000000002</v>
      </c>
      <c r="J205">
        <v>9.66</v>
      </c>
      <c r="K205">
        <v>9.66</v>
      </c>
      <c r="O205">
        <f t="shared" si="248"/>
        <v>2461244.7400000002</v>
      </c>
      <c r="P205">
        <f t="shared" si="249"/>
        <v>2461244.7400000002</v>
      </c>
      <c r="Q205">
        <f t="shared" si="250"/>
        <v>0</v>
      </c>
      <c r="R205">
        <f t="shared" si="251"/>
        <v>0</v>
      </c>
      <c r="S205">
        <f t="shared" si="252"/>
        <v>0</v>
      </c>
      <c r="T205">
        <f t="shared" si="253"/>
        <v>0</v>
      </c>
      <c r="U205">
        <f t="shared" si="254"/>
        <v>0</v>
      </c>
      <c r="V205">
        <f t="shared" si="255"/>
        <v>0</v>
      </c>
      <c r="W205">
        <f t="shared" si="256"/>
        <v>0</v>
      </c>
      <c r="X205">
        <f t="shared" si="257"/>
        <v>0</v>
      </c>
      <c r="Y205">
        <f t="shared" si="258"/>
        <v>0</v>
      </c>
      <c r="AA205">
        <v>70322059</v>
      </c>
      <c r="AB205">
        <f t="shared" si="259"/>
        <v>317.29000000000002</v>
      </c>
      <c r="AC205">
        <f t="shared" si="260"/>
        <v>317.29000000000002</v>
      </c>
      <c r="AD205">
        <f t="shared" si="261"/>
        <v>0</v>
      </c>
      <c r="AE205">
        <f t="shared" si="262"/>
        <v>0</v>
      </c>
      <c r="AF205">
        <f t="shared" si="263"/>
        <v>0</v>
      </c>
      <c r="AG205">
        <f t="shared" si="264"/>
        <v>0</v>
      </c>
      <c r="AH205">
        <f t="shared" si="265"/>
        <v>0</v>
      </c>
      <c r="AI205">
        <f t="shared" si="266"/>
        <v>0</v>
      </c>
      <c r="AJ205">
        <f t="shared" si="267"/>
        <v>0</v>
      </c>
      <c r="AK205">
        <v>317.29000000000002</v>
      </c>
      <c r="AL205">
        <v>317.29000000000002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1.0469999999999999</v>
      </c>
      <c r="AW205">
        <v>1</v>
      </c>
      <c r="AZ205">
        <v>1</v>
      </c>
      <c r="BA205">
        <v>1</v>
      </c>
      <c r="BB205">
        <v>1</v>
      </c>
      <c r="BC205">
        <v>14.14</v>
      </c>
      <c r="BD205" t="s">
        <v>6</v>
      </c>
      <c r="BE205" t="s">
        <v>6</v>
      </c>
      <c r="BF205" t="s">
        <v>6</v>
      </c>
      <c r="BG205" t="s">
        <v>6</v>
      </c>
      <c r="BH205">
        <v>3</v>
      </c>
      <c r="BI205">
        <v>1</v>
      </c>
      <c r="BJ205" t="s">
        <v>241</v>
      </c>
      <c r="BM205">
        <v>158</v>
      </c>
      <c r="BN205">
        <v>0</v>
      </c>
      <c r="BO205" t="s">
        <v>239</v>
      </c>
      <c r="BP205">
        <v>1</v>
      </c>
      <c r="BQ205">
        <v>30</v>
      </c>
      <c r="BR205">
        <v>0</v>
      </c>
      <c r="BS205">
        <v>1</v>
      </c>
      <c r="BT205">
        <v>1</v>
      </c>
      <c r="BU205">
        <v>1</v>
      </c>
      <c r="BV205">
        <v>1</v>
      </c>
      <c r="BW205">
        <v>1</v>
      </c>
      <c r="BX205">
        <v>1</v>
      </c>
      <c r="BY205" t="s">
        <v>6</v>
      </c>
      <c r="BZ205">
        <v>0</v>
      </c>
      <c r="CA205">
        <v>0</v>
      </c>
      <c r="CB205" t="s">
        <v>6</v>
      </c>
      <c r="CE205">
        <v>30</v>
      </c>
      <c r="CF205">
        <v>0</v>
      </c>
      <c r="CG205">
        <v>0</v>
      </c>
      <c r="CM205">
        <v>0</v>
      </c>
      <c r="CN205" t="s">
        <v>6</v>
      </c>
      <c r="CO205">
        <v>0</v>
      </c>
      <c r="CP205">
        <f t="shared" si="268"/>
        <v>2461244.7400000002</v>
      </c>
      <c r="CQ205">
        <f t="shared" si="269"/>
        <v>4486.4799999999996</v>
      </c>
      <c r="CR205">
        <f t="shared" si="270"/>
        <v>0</v>
      </c>
      <c r="CS205">
        <f t="shared" si="271"/>
        <v>0</v>
      </c>
      <c r="CT205">
        <f t="shared" si="272"/>
        <v>0</v>
      </c>
      <c r="CU205">
        <f t="shared" si="273"/>
        <v>0</v>
      </c>
      <c r="CV205">
        <f t="shared" si="274"/>
        <v>0</v>
      </c>
      <c r="CW205">
        <f t="shared" si="275"/>
        <v>0</v>
      </c>
      <c r="CX205">
        <f t="shared" si="276"/>
        <v>0</v>
      </c>
      <c r="CY205">
        <f>S205*(BZ205/100)</f>
        <v>0</v>
      </c>
      <c r="CZ205">
        <f>S205*(CA205/100)</f>
        <v>0</v>
      </c>
      <c r="DC205" t="s">
        <v>6</v>
      </c>
      <c r="DD205" t="s">
        <v>6</v>
      </c>
      <c r="DE205" t="s">
        <v>6</v>
      </c>
      <c r="DF205" t="s">
        <v>6</v>
      </c>
      <c r="DG205" t="s">
        <v>6</v>
      </c>
      <c r="DH205" t="s">
        <v>6</v>
      </c>
      <c r="DI205" t="s">
        <v>6</v>
      </c>
      <c r="DJ205" t="s">
        <v>6</v>
      </c>
      <c r="DK205" t="s">
        <v>6</v>
      </c>
      <c r="DL205" t="s">
        <v>6</v>
      </c>
      <c r="DM205" t="s">
        <v>6</v>
      </c>
      <c r="DN205">
        <v>161</v>
      </c>
      <c r="DO205">
        <v>107</v>
      </c>
      <c r="DP205">
        <v>1.0469999999999999</v>
      </c>
      <c r="DQ205">
        <v>1</v>
      </c>
      <c r="DU205">
        <v>1009</v>
      </c>
      <c r="DV205" t="s">
        <v>226</v>
      </c>
      <c r="DW205" t="s">
        <v>226</v>
      </c>
      <c r="DX205">
        <v>1000</v>
      </c>
      <c r="DZ205" t="s">
        <v>6</v>
      </c>
      <c r="EA205" t="s">
        <v>6</v>
      </c>
      <c r="EB205" t="s">
        <v>6</v>
      </c>
      <c r="EC205" t="s">
        <v>6</v>
      </c>
      <c r="EE205">
        <v>69252783</v>
      </c>
      <c r="EF205">
        <v>30</v>
      </c>
      <c r="EG205" t="s">
        <v>29</v>
      </c>
      <c r="EH205">
        <v>0</v>
      </c>
      <c r="EI205" t="s">
        <v>6</v>
      </c>
      <c r="EJ205">
        <v>1</v>
      </c>
      <c r="EK205">
        <v>158</v>
      </c>
      <c r="EL205" t="s">
        <v>221</v>
      </c>
      <c r="EM205" t="s">
        <v>222</v>
      </c>
      <c r="EO205" t="s">
        <v>6</v>
      </c>
      <c r="EQ205">
        <v>0</v>
      </c>
      <c r="ER205">
        <v>317.29000000000002</v>
      </c>
      <c r="ES205">
        <v>317.29000000000002</v>
      </c>
      <c r="ET205">
        <v>0</v>
      </c>
      <c r="EU205">
        <v>0</v>
      </c>
      <c r="EV205">
        <v>0</v>
      </c>
      <c r="EW205">
        <v>0</v>
      </c>
      <c r="EX205">
        <v>0</v>
      </c>
      <c r="FQ205">
        <v>0</v>
      </c>
      <c r="FR205">
        <f t="shared" si="277"/>
        <v>0</v>
      </c>
      <c r="FS205">
        <v>0</v>
      </c>
      <c r="FX205">
        <v>161</v>
      </c>
      <c r="FY205">
        <v>107</v>
      </c>
      <c r="GA205" t="s">
        <v>6</v>
      </c>
      <c r="GD205">
        <v>0</v>
      </c>
      <c r="GF205">
        <v>883834222</v>
      </c>
      <c r="GG205">
        <v>2</v>
      </c>
      <c r="GH205">
        <v>1</v>
      </c>
      <c r="GI205">
        <v>2</v>
      </c>
      <c r="GJ205">
        <v>0</v>
      </c>
      <c r="GK205">
        <f>ROUND(R205*(S12)/100,2)</f>
        <v>0</v>
      </c>
      <c r="GL205">
        <f t="shared" si="278"/>
        <v>0</v>
      </c>
      <c r="GM205">
        <f t="shared" si="279"/>
        <v>2461244.7400000002</v>
      </c>
      <c r="GN205">
        <f t="shared" si="280"/>
        <v>2461244.7400000002</v>
      </c>
      <c r="GO205">
        <f t="shared" si="281"/>
        <v>0</v>
      </c>
      <c r="GP205">
        <f t="shared" si="282"/>
        <v>0</v>
      </c>
      <c r="GR205">
        <v>0</v>
      </c>
      <c r="GS205">
        <v>0</v>
      </c>
      <c r="GT205">
        <v>0</v>
      </c>
      <c r="GU205" t="s">
        <v>6</v>
      </c>
      <c r="GV205">
        <f t="shared" si="283"/>
        <v>0</v>
      </c>
      <c r="GW205">
        <v>1</v>
      </c>
      <c r="GX205">
        <f t="shared" si="284"/>
        <v>0</v>
      </c>
      <c r="HA205">
        <v>0</v>
      </c>
      <c r="HB205">
        <v>0</v>
      </c>
      <c r="HC205">
        <f t="shared" si="285"/>
        <v>0</v>
      </c>
      <c r="HE205" t="s">
        <v>6</v>
      </c>
      <c r="HF205" t="s">
        <v>6</v>
      </c>
      <c r="HM205" t="s">
        <v>6</v>
      </c>
      <c r="HN205" t="s">
        <v>6</v>
      </c>
      <c r="HO205" t="s">
        <v>6</v>
      </c>
      <c r="HP205" t="s">
        <v>6</v>
      </c>
      <c r="HQ205" t="s">
        <v>6</v>
      </c>
      <c r="IK205">
        <v>0</v>
      </c>
    </row>
    <row r="206" spans="1:255">
      <c r="A206" s="2">
        <v>17</v>
      </c>
      <c r="B206" s="2">
        <v>1</v>
      </c>
      <c r="C206" s="2"/>
      <c r="D206" s="2"/>
      <c r="E206" s="2" t="s">
        <v>264</v>
      </c>
      <c r="F206" s="2" t="s">
        <v>229</v>
      </c>
      <c r="G206" s="2" t="s">
        <v>265</v>
      </c>
      <c r="H206" s="2" t="s">
        <v>219</v>
      </c>
      <c r="I206" s="2">
        <f>ROUND((5679)/100,9)</f>
        <v>56.79</v>
      </c>
      <c r="J206" s="2">
        <v>0</v>
      </c>
      <c r="K206" s="2">
        <f>ROUND((5679)/100,9)</f>
        <v>56.79</v>
      </c>
      <c r="L206" s="2"/>
      <c r="M206" s="2"/>
      <c r="N206" s="2"/>
      <c r="O206" s="2">
        <f t="shared" si="248"/>
        <v>2364.69</v>
      </c>
      <c r="P206" s="2">
        <f t="shared" si="249"/>
        <v>0</v>
      </c>
      <c r="Q206" s="2">
        <f t="shared" si="250"/>
        <v>1952.64</v>
      </c>
      <c r="R206" s="2">
        <f t="shared" si="251"/>
        <v>129.62</v>
      </c>
      <c r="S206" s="2">
        <f t="shared" si="252"/>
        <v>412.05</v>
      </c>
      <c r="T206" s="2">
        <f t="shared" si="253"/>
        <v>0</v>
      </c>
      <c r="U206" s="2">
        <f t="shared" si="254"/>
        <v>31.513338900000001</v>
      </c>
      <c r="V206" s="2">
        <f t="shared" si="255"/>
        <v>0</v>
      </c>
      <c r="W206" s="2">
        <f t="shared" si="256"/>
        <v>0</v>
      </c>
      <c r="X206" s="2">
        <f t="shared" si="257"/>
        <v>663.4</v>
      </c>
      <c r="Y206" s="2">
        <f t="shared" si="258"/>
        <v>440.89</v>
      </c>
      <c r="Z206" s="2"/>
      <c r="AA206" s="2">
        <v>70322058</v>
      </c>
      <c r="AB206" s="2">
        <f t="shared" si="259"/>
        <v>39.770000000000003</v>
      </c>
      <c r="AC206" s="2">
        <f t="shared" si="260"/>
        <v>0</v>
      </c>
      <c r="AD206" s="2">
        <f t="shared" si="261"/>
        <v>32.840000000000003</v>
      </c>
      <c r="AE206" s="2">
        <f t="shared" si="262"/>
        <v>2.1800000000000002</v>
      </c>
      <c r="AF206" s="2">
        <f t="shared" si="263"/>
        <v>6.93</v>
      </c>
      <c r="AG206" s="2">
        <f t="shared" si="264"/>
        <v>0</v>
      </c>
      <c r="AH206" s="2">
        <f t="shared" si="265"/>
        <v>0.53</v>
      </c>
      <c r="AI206" s="2">
        <f t="shared" si="266"/>
        <v>0</v>
      </c>
      <c r="AJ206" s="2">
        <f t="shared" si="267"/>
        <v>0</v>
      </c>
      <c r="AK206" s="2">
        <v>39.770000000000003</v>
      </c>
      <c r="AL206" s="2">
        <v>0</v>
      </c>
      <c r="AM206" s="2">
        <v>32.840000000000003</v>
      </c>
      <c r="AN206" s="2">
        <v>2.1800000000000002</v>
      </c>
      <c r="AO206" s="2">
        <v>6.93</v>
      </c>
      <c r="AP206" s="2">
        <v>0</v>
      </c>
      <c r="AQ206" s="2">
        <v>0.53</v>
      </c>
      <c r="AR206" s="2">
        <v>0</v>
      </c>
      <c r="AS206" s="2">
        <v>0</v>
      </c>
      <c r="AT206" s="2">
        <v>161</v>
      </c>
      <c r="AU206" s="2">
        <v>107</v>
      </c>
      <c r="AV206" s="2">
        <v>1.0469999999999999</v>
      </c>
      <c r="AW206" s="2">
        <v>1</v>
      </c>
      <c r="AX206" s="2"/>
      <c r="AY206" s="2"/>
      <c r="AZ206" s="2">
        <v>1</v>
      </c>
      <c r="BA206" s="2">
        <v>1</v>
      </c>
      <c r="BB206" s="2">
        <v>1</v>
      </c>
      <c r="BC206" s="2">
        <v>1</v>
      </c>
      <c r="BD206" s="2" t="s">
        <v>6</v>
      </c>
      <c r="BE206" s="2" t="s">
        <v>6</v>
      </c>
      <c r="BF206" s="2" t="s">
        <v>6</v>
      </c>
      <c r="BG206" s="2" t="s">
        <v>6</v>
      </c>
      <c r="BH206" s="2">
        <v>0</v>
      </c>
      <c r="BI206" s="2">
        <v>1</v>
      </c>
      <c r="BJ206" s="2" t="s">
        <v>231</v>
      </c>
      <c r="BK206" s="2"/>
      <c r="BL206" s="2"/>
      <c r="BM206" s="2">
        <v>158</v>
      </c>
      <c r="BN206" s="2">
        <v>0</v>
      </c>
      <c r="BO206" s="2" t="s">
        <v>6</v>
      </c>
      <c r="BP206" s="2">
        <v>0</v>
      </c>
      <c r="BQ206" s="2">
        <v>30</v>
      </c>
      <c r="BR206" s="2">
        <v>0</v>
      </c>
      <c r="BS206" s="2">
        <v>1</v>
      </c>
      <c r="BT206" s="2">
        <v>1</v>
      </c>
      <c r="BU206" s="2">
        <v>1</v>
      </c>
      <c r="BV206" s="2">
        <v>1</v>
      </c>
      <c r="BW206" s="2">
        <v>1</v>
      </c>
      <c r="BX206" s="2">
        <v>1</v>
      </c>
      <c r="BY206" s="2" t="s">
        <v>6</v>
      </c>
      <c r="BZ206" s="2">
        <v>161</v>
      </c>
      <c r="CA206" s="2">
        <v>107</v>
      </c>
      <c r="CB206" s="2" t="s">
        <v>6</v>
      </c>
      <c r="CC206" s="2"/>
      <c r="CD206" s="2"/>
      <c r="CE206" s="2">
        <v>30</v>
      </c>
      <c r="CF206" s="2">
        <v>0</v>
      </c>
      <c r="CG206" s="2">
        <v>0</v>
      </c>
      <c r="CH206" s="2"/>
      <c r="CI206" s="2"/>
      <c r="CJ206" s="2"/>
      <c r="CK206" s="2"/>
      <c r="CL206" s="2"/>
      <c r="CM206" s="2">
        <v>0</v>
      </c>
      <c r="CN206" s="2" t="s">
        <v>6</v>
      </c>
      <c r="CO206" s="2">
        <v>0</v>
      </c>
      <c r="CP206" s="2">
        <f t="shared" si="268"/>
        <v>2364.69</v>
      </c>
      <c r="CQ206" s="2">
        <f t="shared" si="269"/>
        <v>0</v>
      </c>
      <c r="CR206" s="2">
        <f t="shared" si="270"/>
        <v>34.380000000000003</v>
      </c>
      <c r="CS206" s="2">
        <f t="shared" si="271"/>
        <v>2.2799999999999998</v>
      </c>
      <c r="CT206" s="2">
        <f t="shared" si="272"/>
        <v>7.26</v>
      </c>
      <c r="CU206" s="2">
        <f t="shared" si="273"/>
        <v>0</v>
      </c>
      <c r="CV206" s="2">
        <f t="shared" si="274"/>
        <v>0.55491000000000001</v>
      </c>
      <c r="CW206" s="2">
        <f t="shared" si="275"/>
        <v>0</v>
      </c>
      <c r="CX206" s="2">
        <f t="shared" si="276"/>
        <v>0</v>
      </c>
      <c r="CY206" s="2">
        <f>((S206*BZ206)/100)</f>
        <v>663.40050000000008</v>
      </c>
      <c r="CZ206" s="2">
        <f>((S206*CA206)/100)</f>
        <v>440.89349999999996</v>
      </c>
      <c r="DA206" s="2"/>
      <c r="DB206" s="2"/>
      <c r="DC206" s="2" t="s">
        <v>6</v>
      </c>
      <c r="DD206" s="2" t="s">
        <v>6</v>
      </c>
      <c r="DE206" s="2" t="s">
        <v>6</v>
      </c>
      <c r="DF206" s="2" t="s">
        <v>6</v>
      </c>
      <c r="DG206" s="2" t="s">
        <v>6</v>
      </c>
      <c r="DH206" s="2" t="s">
        <v>6</v>
      </c>
      <c r="DI206" s="2" t="s">
        <v>6</v>
      </c>
      <c r="DJ206" s="2" t="s">
        <v>6</v>
      </c>
      <c r="DK206" s="2" t="s">
        <v>6</v>
      </c>
      <c r="DL206" s="2" t="s">
        <v>6</v>
      </c>
      <c r="DM206" s="2" t="s">
        <v>6</v>
      </c>
      <c r="DN206" s="2">
        <v>0</v>
      </c>
      <c r="DO206" s="2">
        <v>0</v>
      </c>
      <c r="DP206" s="2">
        <v>1</v>
      </c>
      <c r="DQ206" s="2">
        <v>1</v>
      </c>
      <c r="DR206" s="2"/>
      <c r="DS206" s="2"/>
      <c r="DT206" s="2"/>
      <c r="DU206" s="2">
        <v>1013</v>
      </c>
      <c r="DV206" s="2" t="s">
        <v>219</v>
      </c>
      <c r="DW206" s="2" t="s">
        <v>219</v>
      </c>
      <c r="DX206" s="2">
        <v>1</v>
      </c>
      <c r="DY206" s="2"/>
      <c r="DZ206" s="2" t="s">
        <v>6</v>
      </c>
      <c r="EA206" s="2" t="s">
        <v>6</v>
      </c>
      <c r="EB206" s="2" t="s">
        <v>6</v>
      </c>
      <c r="EC206" s="2" t="s">
        <v>6</v>
      </c>
      <c r="ED206" s="2"/>
      <c r="EE206" s="2">
        <v>69252783</v>
      </c>
      <c r="EF206" s="2">
        <v>30</v>
      </c>
      <c r="EG206" s="2" t="s">
        <v>29</v>
      </c>
      <c r="EH206" s="2">
        <v>0</v>
      </c>
      <c r="EI206" s="2" t="s">
        <v>6</v>
      </c>
      <c r="EJ206" s="2">
        <v>1</v>
      </c>
      <c r="EK206" s="2">
        <v>158</v>
      </c>
      <c r="EL206" s="2" t="s">
        <v>221</v>
      </c>
      <c r="EM206" s="2" t="s">
        <v>222</v>
      </c>
      <c r="EN206" s="2"/>
      <c r="EO206" s="2" t="s">
        <v>6</v>
      </c>
      <c r="EP206" s="2"/>
      <c r="EQ206" s="2">
        <v>0</v>
      </c>
      <c r="ER206" s="2">
        <v>39.770000000000003</v>
      </c>
      <c r="ES206" s="2">
        <v>0</v>
      </c>
      <c r="ET206" s="2">
        <v>32.840000000000003</v>
      </c>
      <c r="EU206" s="2">
        <v>2.1800000000000002</v>
      </c>
      <c r="EV206" s="2">
        <v>6.93</v>
      </c>
      <c r="EW206" s="2">
        <v>0.53</v>
      </c>
      <c r="EX206" s="2">
        <v>0</v>
      </c>
      <c r="EY206" s="2">
        <v>0</v>
      </c>
      <c r="EZ206" s="2"/>
      <c r="FA206" s="2"/>
      <c r="FB206" s="2"/>
      <c r="FC206" s="2"/>
      <c r="FD206" s="2"/>
      <c r="FE206" s="2"/>
      <c r="FF206" s="2"/>
      <c r="FG206" s="2"/>
      <c r="FH206" s="2"/>
      <c r="FI206" s="2"/>
      <c r="FJ206" s="2"/>
      <c r="FK206" s="2"/>
      <c r="FL206" s="2"/>
      <c r="FM206" s="2"/>
      <c r="FN206" s="2"/>
      <c r="FO206" s="2"/>
      <c r="FP206" s="2"/>
      <c r="FQ206" s="2">
        <v>0</v>
      </c>
      <c r="FR206" s="2">
        <f t="shared" si="277"/>
        <v>0</v>
      </c>
      <c r="FS206" s="2">
        <v>0</v>
      </c>
      <c r="FT206" s="2"/>
      <c r="FU206" s="2"/>
      <c r="FV206" s="2"/>
      <c r="FW206" s="2"/>
      <c r="FX206" s="2">
        <v>161</v>
      </c>
      <c r="FY206" s="2">
        <v>107</v>
      </c>
      <c r="FZ206" s="2"/>
      <c r="GA206" s="2" t="s">
        <v>6</v>
      </c>
      <c r="GB206" s="2"/>
      <c r="GC206" s="2"/>
      <c r="GD206" s="2">
        <v>0</v>
      </c>
      <c r="GE206" s="2"/>
      <c r="GF206" s="2">
        <v>86042747</v>
      </c>
      <c r="GG206" s="2">
        <v>2</v>
      </c>
      <c r="GH206" s="2">
        <v>1</v>
      </c>
      <c r="GI206" s="2">
        <v>-2</v>
      </c>
      <c r="GJ206" s="2">
        <v>0</v>
      </c>
      <c r="GK206" s="2">
        <f>ROUND(R206*(R12)/100,2)</f>
        <v>226.84</v>
      </c>
      <c r="GL206" s="2">
        <f t="shared" si="278"/>
        <v>0</v>
      </c>
      <c r="GM206" s="2">
        <f t="shared" si="279"/>
        <v>3695.82</v>
      </c>
      <c r="GN206" s="2">
        <f t="shared" si="280"/>
        <v>3695.82</v>
      </c>
      <c r="GO206" s="2">
        <f t="shared" si="281"/>
        <v>0</v>
      </c>
      <c r="GP206" s="2">
        <f t="shared" si="282"/>
        <v>0</v>
      </c>
      <c r="GQ206" s="2"/>
      <c r="GR206" s="2">
        <v>0</v>
      </c>
      <c r="GS206" s="2">
        <v>3</v>
      </c>
      <c r="GT206" s="2">
        <v>0</v>
      </c>
      <c r="GU206" s="2" t="s">
        <v>6</v>
      </c>
      <c r="GV206" s="2">
        <f t="shared" si="283"/>
        <v>0</v>
      </c>
      <c r="GW206" s="2">
        <v>1</v>
      </c>
      <c r="GX206" s="2">
        <f t="shared" si="284"/>
        <v>0</v>
      </c>
      <c r="GY206" s="2"/>
      <c r="GZ206" s="2"/>
      <c r="HA206" s="2">
        <v>0</v>
      </c>
      <c r="HB206" s="2">
        <v>0</v>
      </c>
      <c r="HC206" s="2">
        <f t="shared" si="285"/>
        <v>0</v>
      </c>
      <c r="HD206" s="2"/>
      <c r="HE206" s="2" t="s">
        <v>6</v>
      </c>
      <c r="HF206" s="2" t="s">
        <v>6</v>
      </c>
      <c r="HG206" s="2"/>
      <c r="HH206" s="2"/>
      <c r="HI206" s="2"/>
      <c r="HJ206" s="2"/>
      <c r="HK206" s="2"/>
      <c r="HL206" s="2"/>
      <c r="HM206" s="2" t="s">
        <v>6</v>
      </c>
      <c r="HN206" s="2" t="s">
        <v>6</v>
      </c>
      <c r="HO206" s="2" t="s">
        <v>6</v>
      </c>
      <c r="HP206" s="2" t="s">
        <v>6</v>
      </c>
      <c r="HQ206" s="2" t="s">
        <v>6</v>
      </c>
      <c r="HR206" s="2"/>
      <c r="HS206" s="2"/>
      <c r="HT206" s="2"/>
      <c r="HU206" s="2"/>
      <c r="HV206" s="2"/>
      <c r="HW206" s="2"/>
      <c r="HX206" s="2"/>
      <c r="HY206" s="2"/>
      <c r="HZ206" s="2"/>
      <c r="IA206" s="2"/>
      <c r="IB206" s="2"/>
      <c r="IC206" s="2"/>
      <c r="ID206" s="2"/>
      <c r="IE206" s="2"/>
      <c r="IF206" s="2"/>
      <c r="IG206" s="2"/>
      <c r="IH206" s="2"/>
      <c r="II206" s="2"/>
      <c r="IJ206" s="2"/>
      <c r="IK206" s="2">
        <v>0</v>
      </c>
      <c r="IL206" s="2"/>
      <c r="IM206" s="2"/>
      <c r="IN206" s="2"/>
      <c r="IO206" s="2"/>
      <c r="IP206" s="2"/>
      <c r="IQ206" s="2"/>
      <c r="IR206" s="2"/>
      <c r="IS206" s="2"/>
      <c r="IT206" s="2"/>
      <c r="IU206" s="2"/>
    </row>
    <row r="207" spans="1:255">
      <c r="A207">
        <v>17</v>
      </c>
      <c r="B207">
        <v>1</v>
      </c>
      <c r="E207" t="s">
        <v>264</v>
      </c>
      <c r="F207" t="s">
        <v>229</v>
      </c>
      <c r="G207" t="s">
        <v>265</v>
      </c>
      <c r="H207" t="s">
        <v>219</v>
      </c>
      <c r="I207">
        <f>ROUND((5679)/100,9)</f>
        <v>56.79</v>
      </c>
      <c r="J207">
        <v>0</v>
      </c>
      <c r="K207">
        <f>ROUND((5679)/100,9)</f>
        <v>56.79</v>
      </c>
      <c r="O207">
        <f t="shared" si="248"/>
        <v>44692.800000000003</v>
      </c>
      <c r="P207">
        <f t="shared" si="249"/>
        <v>0</v>
      </c>
      <c r="Q207">
        <f t="shared" si="250"/>
        <v>25462.43</v>
      </c>
      <c r="R207">
        <f t="shared" si="251"/>
        <v>6049.37</v>
      </c>
      <c r="S207">
        <f t="shared" si="252"/>
        <v>19230.37</v>
      </c>
      <c r="T207">
        <f t="shared" si="253"/>
        <v>0</v>
      </c>
      <c r="U207">
        <f t="shared" si="254"/>
        <v>31.513338900000001</v>
      </c>
      <c r="V207">
        <f t="shared" si="255"/>
        <v>0</v>
      </c>
      <c r="W207">
        <f t="shared" si="256"/>
        <v>0</v>
      </c>
      <c r="X207">
        <f t="shared" si="257"/>
        <v>25768.7</v>
      </c>
      <c r="Y207">
        <f t="shared" si="258"/>
        <v>10576.7</v>
      </c>
      <c r="AA207">
        <v>70322059</v>
      </c>
      <c r="AB207">
        <f t="shared" si="259"/>
        <v>39.770000000000003</v>
      </c>
      <c r="AC207">
        <f t="shared" si="260"/>
        <v>0</v>
      </c>
      <c r="AD207">
        <f t="shared" si="261"/>
        <v>32.840000000000003</v>
      </c>
      <c r="AE207">
        <f t="shared" si="262"/>
        <v>2.1800000000000002</v>
      </c>
      <c r="AF207">
        <f t="shared" si="263"/>
        <v>6.93</v>
      </c>
      <c r="AG207">
        <f t="shared" si="264"/>
        <v>0</v>
      </c>
      <c r="AH207">
        <f t="shared" si="265"/>
        <v>0.53</v>
      </c>
      <c r="AI207">
        <f t="shared" si="266"/>
        <v>0</v>
      </c>
      <c r="AJ207">
        <f t="shared" si="267"/>
        <v>0</v>
      </c>
      <c r="AK207">
        <v>39.770000000000003</v>
      </c>
      <c r="AL207">
        <v>0</v>
      </c>
      <c r="AM207">
        <v>32.840000000000003</v>
      </c>
      <c r="AN207">
        <v>2.1800000000000002</v>
      </c>
      <c r="AO207">
        <v>6.93</v>
      </c>
      <c r="AP207">
        <v>0</v>
      </c>
      <c r="AQ207">
        <v>0.53</v>
      </c>
      <c r="AR207">
        <v>0</v>
      </c>
      <c r="AS207">
        <v>0</v>
      </c>
      <c r="AT207">
        <v>134</v>
      </c>
      <c r="AU207">
        <v>55</v>
      </c>
      <c r="AV207">
        <v>1.0469999999999999</v>
      </c>
      <c r="AW207">
        <v>1</v>
      </c>
      <c r="AZ207">
        <v>1</v>
      </c>
      <c r="BA207">
        <v>46.67</v>
      </c>
      <c r="BB207">
        <v>13.04</v>
      </c>
      <c r="BC207">
        <v>1</v>
      </c>
      <c r="BD207" t="s">
        <v>6</v>
      </c>
      <c r="BE207" t="s">
        <v>6</v>
      </c>
      <c r="BF207" t="s">
        <v>6</v>
      </c>
      <c r="BG207" t="s">
        <v>6</v>
      </c>
      <c r="BH207">
        <v>0</v>
      </c>
      <c r="BI207">
        <v>1</v>
      </c>
      <c r="BJ207" t="s">
        <v>231</v>
      </c>
      <c r="BM207">
        <v>158</v>
      </c>
      <c r="BN207">
        <v>0</v>
      </c>
      <c r="BO207" t="s">
        <v>229</v>
      </c>
      <c r="BP207">
        <v>1</v>
      </c>
      <c r="BQ207">
        <v>30</v>
      </c>
      <c r="BR207">
        <v>0</v>
      </c>
      <c r="BS207">
        <v>46.67</v>
      </c>
      <c r="BT207">
        <v>1</v>
      </c>
      <c r="BU207">
        <v>1</v>
      </c>
      <c r="BV207">
        <v>1</v>
      </c>
      <c r="BW207">
        <v>1</v>
      </c>
      <c r="BX207">
        <v>1</v>
      </c>
      <c r="BY207" t="s">
        <v>6</v>
      </c>
      <c r="BZ207">
        <v>134</v>
      </c>
      <c r="CA207">
        <v>55</v>
      </c>
      <c r="CB207" t="s">
        <v>6</v>
      </c>
      <c r="CE207">
        <v>30</v>
      </c>
      <c r="CF207">
        <v>0</v>
      </c>
      <c r="CG207">
        <v>0</v>
      </c>
      <c r="CM207">
        <v>0</v>
      </c>
      <c r="CN207" t="s">
        <v>6</v>
      </c>
      <c r="CO207">
        <v>0</v>
      </c>
      <c r="CP207">
        <f t="shared" si="268"/>
        <v>44692.800000000003</v>
      </c>
      <c r="CQ207">
        <f t="shared" si="269"/>
        <v>0</v>
      </c>
      <c r="CR207">
        <f t="shared" si="270"/>
        <v>448.32</v>
      </c>
      <c r="CS207">
        <f t="shared" si="271"/>
        <v>106.41</v>
      </c>
      <c r="CT207">
        <f t="shared" si="272"/>
        <v>338.82</v>
      </c>
      <c r="CU207">
        <f t="shared" si="273"/>
        <v>0</v>
      </c>
      <c r="CV207">
        <f t="shared" si="274"/>
        <v>0.55491000000000001</v>
      </c>
      <c r="CW207">
        <f t="shared" si="275"/>
        <v>0</v>
      </c>
      <c r="CX207">
        <f t="shared" si="276"/>
        <v>0</v>
      </c>
      <c r="CY207">
        <f>S207*(BZ207/100)</f>
        <v>25768.695800000001</v>
      </c>
      <c r="CZ207">
        <f>S207*(CA207/100)</f>
        <v>10576.7035</v>
      </c>
      <c r="DC207" t="s">
        <v>6</v>
      </c>
      <c r="DD207" t="s">
        <v>6</v>
      </c>
      <c r="DE207" t="s">
        <v>6</v>
      </c>
      <c r="DF207" t="s">
        <v>6</v>
      </c>
      <c r="DG207" t="s">
        <v>6</v>
      </c>
      <c r="DH207" t="s">
        <v>6</v>
      </c>
      <c r="DI207" t="s">
        <v>6</v>
      </c>
      <c r="DJ207" t="s">
        <v>6</v>
      </c>
      <c r="DK207" t="s">
        <v>6</v>
      </c>
      <c r="DL207" t="s">
        <v>6</v>
      </c>
      <c r="DM207" t="s">
        <v>6</v>
      </c>
      <c r="DN207">
        <v>161</v>
      </c>
      <c r="DO207">
        <v>107</v>
      </c>
      <c r="DP207">
        <v>1.0469999999999999</v>
      </c>
      <c r="DQ207">
        <v>1</v>
      </c>
      <c r="DU207">
        <v>1013</v>
      </c>
      <c r="DV207" t="s">
        <v>219</v>
      </c>
      <c r="DW207" t="s">
        <v>219</v>
      </c>
      <c r="DX207">
        <v>1</v>
      </c>
      <c r="DZ207" t="s">
        <v>6</v>
      </c>
      <c r="EA207" t="s">
        <v>6</v>
      </c>
      <c r="EB207" t="s">
        <v>6</v>
      </c>
      <c r="EC207" t="s">
        <v>6</v>
      </c>
      <c r="EE207">
        <v>69252783</v>
      </c>
      <c r="EF207">
        <v>30</v>
      </c>
      <c r="EG207" t="s">
        <v>29</v>
      </c>
      <c r="EH207">
        <v>0</v>
      </c>
      <c r="EI207" t="s">
        <v>6</v>
      </c>
      <c r="EJ207">
        <v>1</v>
      </c>
      <c r="EK207">
        <v>158</v>
      </c>
      <c r="EL207" t="s">
        <v>221</v>
      </c>
      <c r="EM207" t="s">
        <v>222</v>
      </c>
      <c r="EO207" t="s">
        <v>6</v>
      </c>
      <c r="EQ207">
        <v>0</v>
      </c>
      <c r="ER207">
        <v>39.770000000000003</v>
      </c>
      <c r="ES207">
        <v>0</v>
      </c>
      <c r="ET207">
        <v>32.840000000000003</v>
      </c>
      <c r="EU207">
        <v>2.1800000000000002</v>
      </c>
      <c r="EV207">
        <v>6.93</v>
      </c>
      <c r="EW207">
        <v>0.53</v>
      </c>
      <c r="EX207">
        <v>0</v>
      </c>
      <c r="EY207">
        <v>0</v>
      </c>
      <c r="FQ207">
        <v>0</v>
      </c>
      <c r="FR207">
        <f t="shared" si="277"/>
        <v>0</v>
      </c>
      <c r="FS207">
        <v>0</v>
      </c>
      <c r="FX207">
        <v>161</v>
      </c>
      <c r="FY207">
        <v>107</v>
      </c>
      <c r="GA207" t="s">
        <v>6</v>
      </c>
      <c r="GD207">
        <v>0</v>
      </c>
      <c r="GF207">
        <v>86042747</v>
      </c>
      <c r="GG207">
        <v>2</v>
      </c>
      <c r="GH207">
        <v>1</v>
      </c>
      <c r="GI207">
        <v>2</v>
      </c>
      <c r="GJ207">
        <v>0</v>
      </c>
      <c r="GK207">
        <f>ROUND(R207*(S12)/100,2)</f>
        <v>9678.99</v>
      </c>
      <c r="GL207">
        <f t="shared" si="278"/>
        <v>0</v>
      </c>
      <c r="GM207">
        <f t="shared" si="279"/>
        <v>90717.19</v>
      </c>
      <c r="GN207">
        <f t="shared" si="280"/>
        <v>90717.19</v>
      </c>
      <c r="GO207">
        <f t="shared" si="281"/>
        <v>0</v>
      </c>
      <c r="GP207">
        <f t="shared" si="282"/>
        <v>0</v>
      </c>
      <c r="GR207">
        <v>0</v>
      </c>
      <c r="GS207">
        <v>0</v>
      </c>
      <c r="GT207">
        <v>0</v>
      </c>
      <c r="GU207" t="s">
        <v>6</v>
      </c>
      <c r="GV207">
        <f t="shared" si="283"/>
        <v>0</v>
      </c>
      <c r="GW207">
        <v>1</v>
      </c>
      <c r="GX207">
        <f t="shared" si="284"/>
        <v>0</v>
      </c>
      <c r="HA207">
        <v>0</v>
      </c>
      <c r="HB207">
        <v>0</v>
      </c>
      <c r="HC207">
        <f t="shared" si="285"/>
        <v>0</v>
      </c>
      <c r="HE207" t="s">
        <v>6</v>
      </c>
      <c r="HF207" t="s">
        <v>6</v>
      </c>
      <c r="HM207" t="s">
        <v>6</v>
      </c>
      <c r="HN207" t="s">
        <v>6</v>
      </c>
      <c r="HO207" t="s">
        <v>6</v>
      </c>
      <c r="HP207" t="s">
        <v>6</v>
      </c>
      <c r="HQ207" t="s">
        <v>6</v>
      </c>
      <c r="IK207">
        <v>0</v>
      </c>
    </row>
    <row r="208" spans="1:255">
      <c r="A208" s="2">
        <v>18</v>
      </c>
      <c r="B208" s="2">
        <v>1</v>
      </c>
      <c r="C208" s="2"/>
      <c r="D208" s="2"/>
      <c r="E208" s="2" t="s">
        <v>266</v>
      </c>
      <c r="F208" s="2" t="s">
        <v>239</v>
      </c>
      <c r="G208" s="2" t="s">
        <v>240</v>
      </c>
      <c r="H208" s="2" t="s">
        <v>226</v>
      </c>
      <c r="I208" s="2">
        <f>I206*J208</f>
        <v>137.43180000000001</v>
      </c>
      <c r="J208" s="2">
        <v>2.4200000000000004</v>
      </c>
      <c r="K208" s="2">
        <v>2.42</v>
      </c>
      <c r="L208" s="2"/>
      <c r="M208" s="2"/>
      <c r="N208" s="2"/>
      <c r="O208" s="2">
        <f t="shared" si="248"/>
        <v>43605.74</v>
      </c>
      <c r="P208" s="2">
        <f t="shared" si="249"/>
        <v>43605.74</v>
      </c>
      <c r="Q208" s="2">
        <f t="shared" si="250"/>
        <v>0</v>
      </c>
      <c r="R208" s="2">
        <f t="shared" si="251"/>
        <v>0</v>
      </c>
      <c r="S208" s="2">
        <f t="shared" si="252"/>
        <v>0</v>
      </c>
      <c r="T208" s="2">
        <f t="shared" si="253"/>
        <v>0</v>
      </c>
      <c r="U208" s="2">
        <f t="shared" si="254"/>
        <v>0</v>
      </c>
      <c r="V208" s="2">
        <f t="shared" si="255"/>
        <v>0</v>
      </c>
      <c r="W208" s="2">
        <f t="shared" si="256"/>
        <v>0</v>
      </c>
      <c r="X208" s="2">
        <f t="shared" si="257"/>
        <v>0</v>
      </c>
      <c r="Y208" s="2">
        <f t="shared" si="258"/>
        <v>0</v>
      </c>
      <c r="Z208" s="2"/>
      <c r="AA208" s="2">
        <v>70322058</v>
      </c>
      <c r="AB208" s="2">
        <f t="shared" si="259"/>
        <v>317.29000000000002</v>
      </c>
      <c r="AC208" s="2">
        <f t="shared" si="260"/>
        <v>317.29000000000002</v>
      </c>
      <c r="AD208" s="2">
        <f t="shared" si="261"/>
        <v>0</v>
      </c>
      <c r="AE208" s="2">
        <f t="shared" si="262"/>
        <v>0</v>
      </c>
      <c r="AF208" s="2">
        <f t="shared" si="263"/>
        <v>0</v>
      </c>
      <c r="AG208" s="2">
        <f t="shared" si="264"/>
        <v>0</v>
      </c>
      <c r="AH208" s="2">
        <f t="shared" si="265"/>
        <v>0</v>
      </c>
      <c r="AI208" s="2">
        <f t="shared" si="266"/>
        <v>0</v>
      </c>
      <c r="AJ208" s="2">
        <f t="shared" si="267"/>
        <v>0</v>
      </c>
      <c r="AK208" s="2">
        <v>317.29000000000002</v>
      </c>
      <c r="AL208" s="2">
        <v>317.29000000000002</v>
      </c>
      <c r="AM208" s="2">
        <v>0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161</v>
      </c>
      <c r="AU208" s="2">
        <v>107</v>
      </c>
      <c r="AV208" s="2">
        <v>1.0469999999999999</v>
      </c>
      <c r="AW208" s="2">
        <v>1</v>
      </c>
      <c r="AX208" s="2"/>
      <c r="AY208" s="2"/>
      <c r="AZ208" s="2">
        <v>1</v>
      </c>
      <c r="BA208" s="2">
        <v>1</v>
      </c>
      <c r="BB208" s="2">
        <v>1</v>
      </c>
      <c r="BC208" s="2">
        <v>1</v>
      </c>
      <c r="BD208" s="2" t="s">
        <v>6</v>
      </c>
      <c r="BE208" s="2" t="s">
        <v>6</v>
      </c>
      <c r="BF208" s="2" t="s">
        <v>6</v>
      </c>
      <c r="BG208" s="2" t="s">
        <v>6</v>
      </c>
      <c r="BH208" s="2">
        <v>3</v>
      </c>
      <c r="BI208" s="2">
        <v>1</v>
      </c>
      <c r="BJ208" s="2" t="s">
        <v>241</v>
      </c>
      <c r="BK208" s="2"/>
      <c r="BL208" s="2"/>
      <c r="BM208" s="2">
        <v>158</v>
      </c>
      <c r="BN208" s="2">
        <v>0</v>
      </c>
      <c r="BO208" s="2" t="s">
        <v>6</v>
      </c>
      <c r="BP208" s="2">
        <v>0</v>
      </c>
      <c r="BQ208" s="2">
        <v>30</v>
      </c>
      <c r="BR208" s="2">
        <v>0</v>
      </c>
      <c r="BS208" s="2">
        <v>1</v>
      </c>
      <c r="BT208" s="2">
        <v>1</v>
      </c>
      <c r="BU208" s="2">
        <v>1</v>
      </c>
      <c r="BV208" s="2">
        <v>1</v>
      </c>
      <c r="BW208" s="2">
        <v>1</v>
      </c>
      <c r="BX208" s="2">
        <v>1</v>
      </c>
      <c r="BY208" s="2" t="s">
        <v>6</v>
      </c>
      <c r="BZ208" s="2">
        <v>161</v>
      </c>
      <c r="CA208" s="2">
        <v>107</v>
      </c>
      <c r="CB208" s="2" t="s">
        <v>6</v>
      </c>
      <c r="CC208" s="2"/>
      <c r="CD208" s="2"/>
      <c r="CE208" s="2">
        <v>30</v>
      </c>
      <c r="CF208" s="2">
        <v>0</v>
      </c>
      <c r="CG208" s="2">
        <v>0</v>
      </c>
      <c r="CH208" s="2"/>
      <c r="CI208" s="2"/>
      <c r="CJ208" s="2"/>
      <c r="CK208" s="2"/>
      <c r="CL208" s="2"/>
      <c r="CM208" s="2">
        <v>0</v>
      </c>
      <c r="CN208" s="2" t="s">
        <v>6</v>
      </c>
      <c r="CO208" s="2">
        <v>0</v>
      </c>
      <c r="CP208" s="2">
        <f t="shared" si="268"/>
        <v>43605.74</v>
      </c>
      <c r="CQ208" s="2">
        <f t="shared" si="269"/>
        <v>317.29000000000002</v>
      </c>
      <c r="CR208" s="2">
        <f t="shared" si="270"/>
        <v>0</v>
      </c>
      <c r="CS208" s="2">
        <f t="shared" si="271"/>
        <v>0</v>
      </c>
      <c r="CT208" s="2">
        <f t="shared" si="272"/>
        <v>0</v>
      </c>
      <c r="CU208" s="2">
        <f t="shared" si="273"/>
        <v>0</v>
      </c>
      <c r="CV208" s="2">
        <f t="shared" si="274"/>
        <v>0</v>
      </c>
      <c r="CW208" s="2">
        <f t="shared" si="275"/>
        <v>0</v>
      </c>
      <c r="CX208" s="2">
        <f t="shared" si="276"/>
        <v>0</v>
      </c>
      <c r="CY208" s="2">
        <f>((S208*BZ208)/100)</f>
        <v>0</v>
      </c>
      <c r="CZ208" s="2">
        <f>((S208*CA208)/100)</f>
        <v>0</v>
      </c>
      <c r="DA208" s="2"/>
      <c r="DB208" s="2"/>
      <c r="DC208" s="2" t="s">
        <v>6</v>
      </c>
      <c r="DD208" s="2" t="s">
        <v>6</v>
      </c>
      <c r="DE208" s="2" t="s">
        <v>6</v>
      </c>
      <c r="DF208" s="2" t="s">
        <v>6</v>
      </c>
      <c r="DG208" s="2" t="s">
        <v>6</v>
      </c>
      <c r="DH208" s="2" t="s">
        <v>6</v>
      </c>
      <c r="DI208" s="2" t="s">
        <v>6</v>
      </c>
      <c r="DJ208" s="2" t="s">
        <v>6</v>
      </c>
      <c r="DK208" s="2" t="s">
        <v>6</v>
      </c>
      <c r="DL208" s="2" t="s">
        <v>6</v>
      </c>
      <c r="DM208" s="2" t="s">
        <v>6</v>
      </c>
      <c r="DN208" s="2">
        <v>0</v>
      </c>
      <c r="DO208" s="2">
        <v>0</v>
      </c>
      <c r="DP208" s="2">
        <v>1</v>
      </c>
      <c r="DQ208" s="2">
        <v>1</v>
      </c>
      <c r="DR208" s="2"/>
      <c r="DS208" s="2"/>
      <c r="DT208" s="2"/>
      <c r="DU208" s="2">
        <v>1009</v>
      </c>
      <c r="DV208" s="2" t="s">
        <v>226</v>
      </c>
      <c r="DW208" s="2" t="s">
        <v>226</v>
      </c>
      <c r="DX208" s="2">
        <v>1000</v>
      </c>
      <c r="DY208" s="2"/>
      <c r="DZ208" s="2" t="s">
        <v>6</v>
      </c>
      <c r="EA208" s="2" t="s">
        <v>6</v>
      </c>
      <c r="EB208" s="2" t="s">
        <v>6</v>
      </c>
      <c r="EC208" s="2" t="s">
        <v>6</v>
      </c>
      <c r="ED208" s="2"/>
      <c r="EE208" s="2">
        <v>69252783</v>
      </c>
      <c r="EF208" s="2">
        <v>30</v>
      </c>
      <c r="EG208" s="2" t="s">
        <v>29</v>
      </c>
      <c r="EH208" s="2">
        <v>0</v>
      </c>
      <c r="EI208" s="2" t="s">
        <v>6</v>
      </c>
      <c r="EJ208" s="2">
        <v>1</v>
      </c>
      <c r="EK208" s="2">
        <v>158</v>
      </c>
      <c r="EL208" s="2" t="s">
        <v>221</v>
      </c>
      <c r="EM208" s="2" t="s">
        <v>222</v>
      </c>
      <c r="EN208" s="2"/>
      <c r="EO208" s="2" t="s">
        <v>6</v>
      </c>
      <c r="EP208" s="2"/>
      <c r="EQ208" s="2">
        <v>0</v>
      </c>
      <c r="ER208" s="2">
        <v>317.29000000000002</v>
      </c>
      <c r="ES208" s="2">
        <v>317.29000000000002</v>
      </c>
      <c r="ET208" s="2">
        <v>0</v>
      </c>
      <c r="EU208" s="2">
        <v>0</v>
      </c>
      <c r="EV208" s="2">
        <v>0</v>
      </c>
      <c r="EW208" s="2">
        <v>0</v>
      </c>
      <c r="EX208" s="2">
        <v>0</v>
      </c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>
        <v>0</v>
      </c>
      <c r="FR208" s="2">
        <f t="shared" si="277"/>
        <v>0</v>
      </c>
      <c r="FS208" s="2">
        <v>0</v>
      </c>
      <c r="FT208" s="2"/>
      <c r="FU208" s="2"/>
      <c r="FV208" s="2"/>
      <c r="FW208" s="2"/>
      <c r="FX208" s="2">
        <v>161</v>
      </c>
      <c r="FY208" s="2">
        <v>107</v>
      </c>
      <c r="FZ208" s="2"/>
      <c r="GA208" s="2" t="s">
        <v>6</v>
      </c>
      <c r="GB208" s="2"/>
      <c r="GC208" s="2"/>
      <c r="GD208" s="2">
        <v>0</v>
      </c>
      <c r="GE208" s="2"/>
      <c r="GF208" s="2">
        <v>883834222</v>
      </c>
      <c r="GG208" s="2">
        <v>2</v>
      </c>
      <c r="GH208" s="2">
        <v>1</v>
      </c>
      <c r="GI208" s="2">
        <v>-2</v>
      </c>
      <c r="GJ208" s="2">
        <v>0</v>
      </c>
      <c r="GK208" s="2">
        <f>ROUND(R208*(R12)/100,2)</f>
        <v>0</v>
      </c>
      <c r="GL208" s="2">
        <f t="shared" si="278"/>
        <v>0</v>
      </c>
      <c r="GM208" s="2">
        <f t="shared" si="279"/>
        <v>43605.74</v>
      </c>
      <c r="GN208" s="2">
        <f t="shared" si="280"/>
        <v>43605.74</v>
      </c>
      <c r="GO208" s="2">
        <f t="shared" si="281"/>
        <v>0</v>
      </c>
      <c r="GP208" s="2">
        <f t="shared" si="282"/>
        <v>0</v>
      </c>
      <c r="GQ208" s="2"/>
      <c r="GR208" s="2">
        <v>0</v>
      </c>
      <c r="GS208" s="2">
        <v>3</v>
      </c>
      <c r="GT208" s="2">
        <v>0</v>
      </c>
      <c r="GU208" s="2" t="s">
        <v>6</v>
      </c>
      <c r="GV208" s="2">
        <f t="shared" si="283"/>
        <v>0</v>
      </c>
      <c r="GW208" s="2">
        <v>1</v>
      </c>
      <c r="GX208" s="2">
        <f t="shared" si="284"/>
        <v>0</v>
      </c>
      <c r="GY208" s="2"/>
      <c r="GZ208" s="2"/>
      <c r="HA208" s="2">
        <v>0</v>
      </c>
      <c r="HB208" s="2">
        <v>0</v>
      </c>
      <c r="HC208" s="2">
        <f t="shared" si="285"/>
        <v>0</v>
      </c>
      <c r="HD208" s="2"/>
      <c r="HE208" s="2" t="s">
        <v>6</v>
      </c>
      <c r="HF208" s="2" t="s">
        <v>6</v>
      </c>
      <c r="HG208" s="2"/>
      <c r="HH208" s="2"/>
      <c r="HI208" s="2"/>
      <c r="HJ208" s="2"/>
      <c r="HK208" s="2"/>
      <c r="HL208" s="2"/>
      <c r="HM208" s="2" t="s">
        <v>6</v>
      </c>
      <c r="HN208" s="2" t="s">
        <v>6</v>
      </c>
      <c r="HO208" s="2" t="s">
        <v>6</v>
      </c>
      <c r="HP208" s="2" t="s">
        <v>6</v>
      </c>
      <c r="HQ208" s="2" t="s">
        <v>6</v>
      </c>
      <c r="HR208" s="2"/>
      <c r="HS208" s="2"/>
      <c r="HT208" s="2"/>
      <c r="HU208" s="2"/>
      <c r="HV208" s="2"/>
      <c r="HW208" s="2"/>
      <c r="HX208" s="2"/>
      <c r="HY208" s="2"/>
      <c r="HZ208" s="2"/>
      <c r="IA208" s="2"/>
      <c r="IB208" s="2"/>
      <c r="IC208" s="2"/>
      <c r="ID208" s="2"/>
      <c r="IE208" s="2"/>
      <c r="IF208" s="2"/>
      <c r="IG208" s="2"/>
      <c r="IH208" s="2"/>
      <c r="II208" s="2"/>
      <c r="IJ208" s="2"/>
      <c r="IK208" s="2">
        <v>0</v>
      </c>
      <c r="IL208" s="2"/>
      <c r="IM208" s="2"/>
      <c r="IN208" s="2"/>
      <c r="IO208" s="2"/>
      <c r="IP208" s="2"/>
      <c r="IQ208" s="2"/>
      <c r="IR208" s="2"/>
      <c r="IS208" s="2"/>
      <c r="IT208" s="2"/>
      <c r="IU208" s="2"/>
    </row>
    <row r="209" spans="1:255">
      <c r="A209">
        <v>18</v>
      </c>
      <c r="B209">
        <v>1</v>
      </c>
      <c r="E209" t="s">
        <v>266</v>
      </c>
      <c r="F209" t="s">
        <v>239</v>
      </c>
      <c r="G209" t="s">
        <v>240</v>
      </c>
      <c r="H209" t="s">
        <v>226</v>
      </c>
      <c r="I209">
        <f>I207*J209</f>
        <v>137.43180000000001</v>
      </c>
      <c r="J209">
        <v>2.4200000000000004</v>
      </c>
      <c r="K209">
        <v>2.42</v>
      </c>
      <c r="O209">
        <f t="shared" si="248"/>
        <v>616585.16</v>
      </c>
      <c r="P209">
        <f t="shared" si="249"/>
        <v>616585.16</v>
      </c>
      <c r="Q209">
        <f t="shared" si="250"/>
        <v>0</v>
      </c>
      <c r="R209">
        <f t="shared" si="251"/>
        <v>0</v>
      </c>
      <c r="S209">
        <f t="shared" si="252"/>
        <v>0</v>
      </c>
      <c r="T209">
        <f t="shared" si="253"/>
        <v>0</v>
      </c>
      <c r="U209">
        <f t="shared" si="254"/>
        <v>0</v>
      </c>
      <c r="V209">
        <f t="shared" si="255"/>
        <v>0</v>
      </c>
      <c r="W209">
        <f t="shared" si="256"/>
        <v>0</v>
      </c>
      <c r="X209">
        <f t="shared" si="257"/>
        <v>0</v>
      </c>
      <c r="Y209">
        <f t="shared" si="258"/>
        <v>0</v>
      </c>
      <c r="AA209">
        <v>70322059</v>
      </c>
      <c r="AB209">
        <f t="shared" si="259"/>
        <v>317.29000000000002</v>
      </c>
      <c r="AC209">
        <f t="shared" si="260"/>
        <v>317.29000000000002</v>
      </c>
      <c r="AD209">
        <f t="shared" si="261"/>
        <v>0</v>
      </c>
      <c r="AE209">
        <f t="shared" si="262"/>
        <v>0</v>
      </c>
      <c r="AF209">
        <f t="shared" si="263"/>
        <v>0</v>
      </c>
      <c r="AG209">
        <f t="shared" si="264"/>
        <v>0</v>
      </c>
      <c r="AH209">
        <f t="shared" si="265"/>
        <v>0</v>
      </c>
      <c r="AI209">
        <f t="shared" si="266"/>
        <v>0</v>
      </c>
      <c r="AJ209">
        <f t="shared" si="267"/>
        <v>0</v>
      </c>
      <c r="AK209">
        <v>317.29000000000002</v>
      </c>
      <c r="AL209">
        <v>317.29000000000002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1.0469999999999999</v>
      </c>
      <c r="AW209">
        <v>1</v>
      </c>
      <c r="AZ209">
        <v>1</v>
      </c>
      <c r="BA209">
        <v>1</v>
      </c>
      <c r="BB209">
        <v>1</v>
      </c>
      <c r="BC209">
        <v>14.14</v>
      </c>
      <c r="BD209" t="s">
        <v>6</v>
      </c>
      <c r="BE209" t="s">
        <v>6</v>
      </c>
      <c r="BF209" t="s">
        <v>6</v>
      </c>
      <c r="BG209" t="s">
        <v>6</v>
      </c>
      <c r="BH209">
        <v>3</v>
      </c>
      <c r="BI209">
        <v>1</v>
      </c>
      <c r="BJ209" t="s">
        <v>241</v>
      </c>
      <c r="BM209">
        <v>158</v>
      </c>
      <c r="BN209">
        <v>0</v>
      </c>
      <c r="BO209" t="s">
        <v>239</v>
      </c>
      <c r="BP209">
        <v>1</v>
      </c>
      <c r="BQ209">
        <v>30</v>
      </c>
      <c r="BR209">
        <v>0</v>
      </c>
      <c r="BS209">
        <v>1</v>
      </c>
      <c r="BT209">
        <v>1</v>
      </c>
      <c r="BU209">
        <v>1</v>
      </c>
      <c r="BV209">
        <v>1</v>
      </c>
      <c r="BW209">
        <v>1</v>
      </c>
      <c r="BX209">
        <v>1</v>
      </c>
      <c r="BY209" t="s">
        <v>6</v>
      </c>
      <c r="BZ209">
        <v>0</v>
      </c>
      <c r="CA209">
        <v>0</v>
      </c>
      <c r="CB209" t="s">
        <v>6</v>
      </c>
      <c r="CE209">
        <v>30</v>
      </c>
      <c r="CF209">
        <v>0</v>
      </c>
      <c r="CG209">
        <v>0</v>
      </c>
      <c r="CM209">
        <v>0</v>
      </c>
      <c r="CN209" t="s">
        <v>6</v>
      </c>
      <c r="CO209">
        <v>0</v>
      </c>
      <c r="CP209">
        <f t="shared" si="268"/>
        <v>616585.16</v>
      </c>
      <c r="CQ209">
        <f t="shared" si="269"/>
        <v>4486.4799999999996</v>
      </c>
      <c r="CR209">
        <f t="shared" si="270"/>
        <v>0</v>
      </c>
      <c r="CS209">
        <f t="shared" si="271"/>
        <v>0</v>
      </c>
      <c r="CT209">
        <f t="shared" si="272"/>
        <v>0</v>
      </c>
      <c r="CU209">
        <f t="shared" si="273"/>
        <v>0</v>
      </c>
      <c r="CV209">
        <f t="shared" si="274"/>
        <v>0</v>
      </c>
      <c r="CW209">
        <f t="shared" si="275"/>
        <v>0</v>
      </c>
      <c r="CX209">
        <f t="shared" si="276"/>
        <v>0</v>
      </c>
      <c r="CY209">
        <f>S209*(BZ209/100)</f>
        <v>0</v>
      </c>
      <c r="CZ209">
        <f>S209*(CA209/100)</f>
        <v>0</v>
      </c>
      <c r="DC209" t="s">
        <v>6</v>
      </c>
      <c r="DD209" t="s">
        <v>6</v>
      </c>
      <c r="DE209" t="s">
        <v>6</v>
      </c>
      <c r="DF209" t="s">
        <v>6</v>
      </c>
      <c r="DG209" t="s">
        <v>6</v>
      </c>
      <c r="DH209" t="s">
        <v>6</v>
      </c>
      <c r="DI209" t="s">
        <v>6</v>
      </c>
      <c r="DJ209" t="s">
        <v>6</v>
      </c>
      <c r="DK209" t="s">
        <v>6</v>
      </c>
      <c r="DL209" t="s">
        <v>6</v>
      </c>
      <c r="DM209" t="s">
        <v>6</v>
      </c>
      <c r="DN209">
        <v>161</v>
      </c>
      <c r="DO209">
        <v>107</v>
      </c>
      <c r="DP209">
        <v>1.0469999999999999</v>
      </c>
      <c r="DQ209">
        <v>1</v>
      </c>
      <c r="DU209">
        <v>1009</v>
      </c>
      <c r="DV209" t="s">
        <v>226</v>
      </c>
      <c r="DW209" t="s">
        <v>226</v>
      </c>
      <c r="DX209">
        <v>1000</v>
      </c>
      <c r="DZ209" t="s">
        <v>6</v>
      </c>
      <c r="EA209" t="s">
        <v>6</v>
      </c>
      <c r="EB209" t="s">
        <v>6</v>
      </c>
      <c r="EC209" t="s">
        <v>6</v>
      </c>
      <c r="EE209">
        <v>69252783</v>
      </c>
      <c r="EF209">
        <v>30</v>
      </c>
      <c r="EG209" t="s">
        <v>29</v>
      </c>
      <c r="EH209">
        <v>0</v>
      </c>
      <c r="EI209" t="s">
        <v>6</v>
      </c>
      <c r="EJ209">
        <v>1</v>
      </c>
      <c r="EK209">
        <v>158</v>
      </c>
      <c r="EL209" t="s">
        <v>221</v>
      </c>
      <c r="EM209" t="s">
        <v>222</v>
      </c>
      <c r="EO209" t="s">
        <v>6</v>
      </c>
      <c r="EQ209">
        <v>0</v>
      </c>
      <c r="ER209">
        <v>317.29000000000002</v>
      </c>
      <c r="ES209">
        <v>317.29000000000002</v>
      </c>
      <c r="ET209">
        <v>0</v>
      </c>
      <c r="EU209">
        <v>0</v>
      </c>
      <c r="EV209">
        <v>0</v>
      </c>
      <c r="EW209">
        <v>0</v>
      </c>
      <c r="EX209">
        <v>0</v>
      </c>
      <c r="FQ209">
        <v>0</v>
      </c>
      <c r="FR209">
        <f t="shared" si="277"/>
        <v>0</v>
      </c>
      <c r="FS209">
        <v>0</v>
      </c>
      <c r="FX209">
        <v>161</v>
      </c>
      <c r="FY209">
        <v>107</v>
      </c>
      <c r="GA209" t="s">
        <v>6</v>
      </c>
      <c r="GD209">
        <v>0</v>
      </c>
      <c r="GF209">
        <v>883834222</v>
      </c>
      <c r="GG209">
        <v>2</v>
      </c>
      <c r="GH209">
        <v>1</v>
      </c>
      <c r="GI209">
        <v>2</v>
      </c>
      <c r="GJ209">
        <v>0</v>
      </c>
      <c r="GK209">
        <f>ROUND(R209*(S12)/100,2)</f>
        <v>0</v>
      </c>
      <c r="GL209">
        <f t="shared" si="278"/>
        <v>0</v>
      </c>
      <c r="GM209">
        <f t="shared" si="279"/>
        <v>616585.16</v>
      </c>
      <c r="GN209">
        <f t="shared" si="280"/>
        <v>616585.16</v>
      </c>
      <c r="GO209">
        <f t="shared" si="281"/>
        <v>0</v>
      </c>
      <c r="GP209">
        <f t="shared" si="282"/>
        <v>0</v>
      </c>
      <c r="GR209">
        <v>0</v>
      </c>
      <c r="GS209">
        <v>0</v>
      </c>
      <c r="GT209">
        <v>0</v>
      </c>
      <c r="GU209" t="s">
        <v>6</v>
      </c>
      <c r="GV209">
        <f t="shared" si="283"/>
        <v>0</v>
      </c>
      <c r="GW209">
        <v>1</v>
      </c>
      <c r="GX209">
        <f t="shared" si="284"/>
        <v>0</v>
      </c>
      <c r="HA209">
        <v>0</v>
      </c>
      <c r="HB209">
        <v>0</v>
      </c>
      <c r="HC209">
        <f t="shared" si="285"/>
        <v>0</v>
      </c>
      <c r="HE209" t="s">
        <v>6</v>
      </c>
      <c r="HF209" t="s">
        <v>6</v>
      </c>
      <c r="HM209" t="s">
        <v>6</v>
      </c>
      <c r="HN209" t="s">
        <v>6</v>
      </c>
      <c r="HO209" t="s">
        <v>6</v>
      </c>
      <c r="HP209" t="s">
        <v>6</v>
      </c>
      <c r="HQ209" t="s">
        <v>6</v>
      </c>
      <c r="IK209">
        <v>0</v>
      </c>
    </row>
    <row r="210" spans="1:255">
      <c r="A210" s="2">
        <v>19</v>
      </c>
      <c r="B210" s="2">
        <v>1</v>
      </c>
      <c r="C210" s="2"/>
      <c r="D210" s="2"/>
      <c r="E210" s="2"/>
      <c r="F210" s="2" t="s">
        <v>6</v>
      </c>
      <c r="G210" s="2" t="s">
        <v>267</v>
      </c>
      <c r="H210" s="2" t="s">
        <v>6</v>
      </c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>
        <v>1</v>
      </c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  <c r="ET210" s="2"/>
      <c r="EU210" s="2"/>
      <c r="EV210" s="2"/>
      <c r="EW210" s="2"/>
      <c r="EX210" s="2"/>
      <c r="EY210" s="2"/>
      <c r="EZ210" s="2"/>
      <c r="FA210" s="2"/>
      <c r="FB210" s="2"/>
      <c r="FC210" s="2"/>
      <c r="FD210" s="2"/>
      <c r="FE210" s="2"/>
      <c r="FF210" s="2"/>
      <c r="FG210" s="2"/>
      <c r="FH210" s="2"/>
      <c r="FI210" s="2"/>
      <c r="FJ210" s="2"/>
      <c r="FK210" s="2"/>
      <c r="FL210" s="2"/>
      <c r="FM210" s="2"/>
      <c r="FN210" s="2"/>
      <c r="FO210" s="2"/>
      <c r="FP210" s="2"/>
      <c r="FQ210" s="2"/>
      <c r="FR210" s="2"/>
      <c r="FS210" s="2"/>
      <c r="FT210" s="2"/>
      <c r="FU210" s="2"/>
      <c r="FV210" s="2"/>
      <c r="FW210" s="2"/>
      <c r="FX210" s="2"/>
      <c r="FY210" s="2"/>
      <c r="FZ210" s="2"/>
      <c r="GA210" s="2"/>
      <c r="GB210" s="2"/>
      <c r="GC210" s="2"/>
      <c r="GD210" s="2"/>
      <c r="GE210" s="2"/>
      <c r="GF210" s="2"/>
      <c r="GG210" s="2"/>
      <c r="GH210" s="2"/>
      <c r="GI210" s="2"/>
      <c r="GJ210" s="2"/>
      <c r="GK210" s="2"/>
      <c r="GL210" s="2"/>
      <c r="GM210" s="2"/>
      <c r="GN210" s="2"/>
      <c r="GO210" s="2"/>
      <c r="GP210" s="2"/>
      <c r="GQ210" s="2"/>
      <c r="GR210" s="2"/>
      <c r="GS210" s="2"/>
      <c r="GT210" s="2"/>
      <c r="GU210" s="2"/>
      <c r="GV210" s="2"/>
      <c r="GW210" s="2"/>
      <c r="GX210" s="2"/>
      <c r="GY210" s="2"/>
      <c r="GZ210" s="2"/>
      <c r="HA210" s="2"/>
      <c r="HB210" s="2"/>
      <c r="HC210" s="2"/>
      <c r="HD210" s="2"/>
      <c r="HE210" s="2"/>
      <c r="HF210" s="2"/>
      <c r="HG210" s="2"/>
      <c r="HH210" s="2"/>
      <c r="HI210" s="2"/>
      <c r="HJ210" s="2"/>
      <c r="HK210" s="2"/>
      <c r="HL210" s="2"/>
      <c r="HM210" s="2"/>
      <c r="HN210" s="2"/>
      <c r="HO210" s="2"/>
      <c r="HP210" s="2"/>
      <c r="HQ210" s="2"/>
      <c r="HR210" s="2"/>
      <c r="HS210" s="2"/>
      <c r="HT210" s="2"/>
      <c r="HU210" s="2"/>
      <c r="HV210" s="2"/>
      <c r="HW210" s="2"/>
      <c r="HX210" s="2"/>
      <c r="HY210" s="2"/>
      <c r="HZ210" s="2"/>
      <c r="IA210" s="2"/>
      <c r="IB210" s="2"/>
      <c r="IC210" s="2"/>
      <c r="ID210" s="2"/>
      <c r="IE210" s="2"/>
      <c r="IF210" s="2"/>
      <c r="IG210" s="2"/>
      <c r="IH210" s="2"/>
      <c r="II210" s="2"/>
      <c r="IJ210" s="2"/>
      <c r="IK210" s="2">
        <v>0</v>
      </c>
      <c r="IL210" s="2"/>
      <c r="IM210" s="2"/>
      <c r="IN210" s="2"/>
      <c r="IO210" s="2"/>
      <c r="IP210" s="2"/>
      <c r="IQ210" s="2"/>
      <c r="IR210" s="2"/>
      <c r="IS210" s="2"/>
      <c r="IT210" s="2"/>
      <c r="IU210" s="2"/>
    </row>
    <row r="211" spans="1:255">
      <c r="A211" s="2">
        <v>17</v>
      </c>
      <c r="B211" s="2">
        <v>1</v>
      </c>
      <c r="C211" s="2"/>
      <c r="D211" s="2"/>
      <c r="E211" s="2" t="s">
        <v>6</v>
      </c>
      <c r="F211" s="2" t="s">
        <v>268</v>
      </c>
      <c r="G211" s="2" t="s">
        <v>269</v>
      </c>
      <c r="H211" s="2" t="s">
        <v>270</v>
      </c>
      <c r="I211" s="2">
        <f>ROUND((18)/100,9)</f>
        <v>0.18</v>
      </c>
      <c r="J211" s="2">
        <v>0</v>
      </c>
      <c r="K211" s="2">
        <f>ROUND((18)/100,9)</f>
        <v>0.18</v>
      </c>
      <c r="L211" s="2"/>
      <c r="M211" s="2"/>
      <c r="N211" s="2"/>
      <c r="O211" s="2">
        <f t="shared" ref="O211:O220" si="286">ROUND(CP211,2)</f>
        <v>161.61000000000001</v>
      </c>
      <c r="P211" s="2">
        <f t="shared" ref="P211:P220" si="287">ROUND((ROUND((AC211*AW211*I211),2)*BC211),2)</f>
        <v>0</v>
      </c>
      <c r="Q211" s="2">
        <f t="shared" ref="Q211:Q220" si="288">(ROUND((ROUND(((ET211)*AV211*I211),2)*BB211),2)+ROUND((ROUND(((AE211-(EU211))*AV211*I211),2)*BS211),2))</f>
        <v>0</v>
      </c>
      <c r="R211" s="2">
        <f t="shared" ref="R211:R220" si="289">ROUND((ROUND((AE211*AV211*I211),2)*BS211),2)</f>
        <v>0</v>
      </c>
      <c r="S211" s="2">
        <f t="shared" ref="S211:S220" si="290">ROUND((ROUND((AF211*AV211*I211),2)*BA211),2)</f>
        <v>161.61000000000001</v>
      </c>
      <c r="T211" s="2">
        <f t="shared" ref="T211:T220" si="291">ROUND(CU211*I211,2)</f>
        <v>0</v>
      </c>
      <c r="U211" s="2">
        <f t="shared" ref="U211:U220" si="292">CV211*I211</f>
        <v>14.454882</v>
      </c>
      <c r="V211" s="2">
        <f t="shared" ref="V211:V220" si="293">CW211*I211</f>
        <v>0</v>
      </c>
      <c r="W211" s="2">
        <f t="shared" ref="W211:W220" si="294">ROUND(CX211*I211,2)</f>
        <v>0</v>
      </c>
      <c r="X211" s="2">
        <f t="shared" ref="X211:X220" si="295">ROUND(CY211,2)</f>
        <v>129.29</v>
      </c>
      <c r="Y211" s="2">
        <f t="shared" ref="Y211:Y220" si="296">ROUND(CZ211,2)</f>
        <v>88.89</v>
      </c>
      <c r="Z211" s="2"/>
      <c r="AA211" s="2">
        <v>-1</v>
      </c>
      <c r="AB211" s="2">
        <f t="shared" ref="AB211:AB220" si="297">ROUND((AC211+AD211+AF211),6)</f>
        <v>857.51</v>
      </c>
      <c r="AC211" s="2">
        <f t="shared" ref="AC211:AC220" si="298">ROUND((ES211),6)</f>
        <v>0</v>
      </c>
      <c r="AD211" s="2">
        <f t="shared" ref="AD211:AD220" si="299">ROUND((((ET211)-(EU211))+AE211),6)</f>
        <v>0</v>
      </c>
      <c r="AE211" s="2">
        <f t="shared" ref="AE211:AE220" si="300">ROUND((EU211),6)</f>
        <v>0</v>
      </c>
      <c r="AF211" s="2">
        <f t="shared" ref="AF211:AF220" si="301">ROUND((EV211),6)</f>
        <v>857.51</v>
      </c>
      <c r="AG211" s="2">
        <f t="shared" ref="AG211:AG220" si="302">ROUND((AP211),6)</f>
        <v>0</v>
      </c>
      <c r="AH211" s="2">
        <f t="shared" ref="AH211:AH220" si="303">(EW211)</f>
        <v>76.7</v>
      </c>
      <c r="AI211" s="2">
        <f t="shared" ref="AI211:AI220" si="304">(EX211)</f>
        <v>0</v>
      </c>
      <c r="AJ211" s="2">
        <f t="shared" ref="AJ211:AJ220" si="305">(AS211)</f>
        <v>0</v>
      </c>
      <c r="AK211" s="2">
        <v>857.51</v>
      </c>
      <c r="AL211" s="2">
        <v>0</v>
      </c>
      <c r="AM211" s="2">
        <v>0</v>
      </c>
      <c r="AN211" s="2">
        <v>0</v>
      </c>
      <c r="AO211" s="2">
        <v>857.51</v>
      </c>
      <c r="AP211" s="2">
        <v>0</v>
      </c>
      <c r="AQ211" s="2">
        <v>76.7</v>
      </c>
      <c r="AR211" s="2">
        <v>0</v>
      </c>
      <c r="AS211" s="2">
        <v>0</v>
      </c>
      <c r="AT211" s="2">
        <v>80</v>
      </c>
      <c r="AU211" s="2">
        <v>55</v>
      </c>
      <c r="AV211" s="2">
        <v>1.0469999999999999</v>
      </c>
      <c r="AW211" s="2">
        <v>1</v>
      </c>
      <c r="AX211" s="2"/>
      <c r="AY211" s="2"/>
      <c r="AZ211" s="2">
        <v>1</v>
      </c>
      <c r="BA211" s="2">
        <v>1</v>
      </c>
      <c r="BB211" s="2">
        <v>1</v>
      </c>
      <c r="BC211" s="2">
        <v>1</v>
      </c>
      <c r="BD211" s="2" t="s">
        <v>6</v>
      </c>
      <c r="BE211" s="2" t="s">
        <v>6</v>
      </c>
      <c r="BF211" s="2" t="s">
        <v>6</v>
      </c>
      <c r="BG211" s="2" t="s">
        <v>6</v>
      </c>
      <c r="BH211" s="2">
        <v>0</v>
      </c>
      <c r="BI211" s="2">
        <v>1</v>
      </c>
      <c r="BJ211" s="2" t="s">
        <v>271</v>
      </c>
      <c r="BK211" s="2"/>
      <c r="BL211" s="2"/>
      <c r="BM211" s="2">
        <v>674</v>
      </c>
      <c r="BN211" s="2">
        <v>0</v>
      </c>
      <c r="BO211" s="2" t="s">
        <v>6</v>
      </c>
      <c r="BP211" s="2">
        <v>0</v>
      </c>
      <c r="BQ211" s="2">
        <v>60</v>
      </c>
      <c r="BR211" s="2">
        <v>0</v>
      </c>
      <c r="BS211" s="2">
        <v>1</v>
      </c>
      <c r="BT211" s="2">
        <v>1</v>
      </c>
      <c r="BU211" s="2">
        <v>1</v>
      </c>
      <c r="BV211" s="2">
        <v>1</v>
      </c>
      <c r="BW211" s="2">
        <v>1</v>
      </c>
      <c r="BX211" s="2">
        <v>1</v>
      </c>
      <c r="BY211" s="2" t="s">
        <v>6</v>
      </c>
      <c r="BZ211" s="2">
        <v>80</v>
      </c>
      <c r="CA211" s="2">
        <v>55</v>
      </c>
      <c r="CB211" s="2" t="s">
        <v>6</v>
      </c>
      <c r="CC211" s="2"/>
      <c r="CD211" s="2"/>
      <c r="CE211" s="2">
        <v>30</v>
      </c>
      <c r="CF211" s="2">
        <v>0</v>
      </c>
      <c r="CG211" s="2">
        <v>0</v>
      </c>
      <c r="CH211" s="2"/>
      <c r="CI211" s="2"/>
      <c r="CJ211" s="2"/>
      <c r="CK211" s="2"/>
      <c r="CL211" s="2"/>
      <c r="CM211" s="2">
        <v>0</v>
      </c>
      <c r="CN211" s="2" t="s">
        <v>6</v>
      </c>
      <c r="CO211" s="2">
        <v>0</v>
      </c>
      <c r="CP211" s="2">
        <f t="shared" ref="CP211:CP220" si="306">(P211+Q211+S211)</f>
        <v>161.61000000000001</v>
      </c>
      <c r="CQ211" s="2">
        <f t="shared" ref="CQ211:CQ220" si="307">ROUND((ROUND((AC211*AW211*1),2)*BC211),2)</f>
        <v>0</v>
      </c>
      <c r="CR211" s="2">
        <f t="shared" ref="CR211:CR220" si="308">(ROUND((ROUND(((ET211)*AV211*1),2)*BB211),2)+ROUND((ROUND(((AE211-(EU211))*AV211*1),2)*BS211),2))</f>
        <v>0</v>
      </c>
      <c r="CS211" s="2">
        <f t="shared" ref="CS211:CS220" si="309">ROUND((ROUND((AE211*AV211*1),2)*BS211),2)</f>
        <v>0</v>
      </c>
      <c r="CT211" s="2">
        <f t="shared" ref="CT211:CT220" si="310">ROUND((ROUND((AF211*AV211*1),2)*BA211),2)</f>
        <v>897.81</v>
      </c>
      <c r="CU211" s="2">
        <f t="shared" ref="CU211:CU220" si="311">AG211</f>
        <v>0</v>
      </c>
      <c r="CV211" s="2">
        <f t="shared" ref="CV211:CV220" si="312">(AH211*AV211)</f>
        <v>80.304900000000004</v>
      </c>
      <c r="CW211" s="2">
        <f t="shared" ref="CW211:CW220" si="313">AI211</f>
        <v>0</v>
      </c>
      <c r="CX211" s="2">
        <f t="shared" ref="CX211:CX220" si="314">AJ211</f>
        <v>0</v>
      </c>
      <c r="CY211" s="2">
        <f>((S211*BZ211)/100)</f>
        <v>129.28800000000001</v>
      </c>
      <c r="CZ211" s="2">
        <f>((S211*CA211)/100)</f>
        <v>88.885500000000008</v>
      </c>
      <c r="DA211" s="2"/>
      <c r="DB211" s="2"/>
      <c r="DC211" s="2" t="s">
        <v>6</v>
      </c>
      <c r="DD211" s="2" t="s">
        <v>6</v>
      </c>
      <c r="DE211" s="2" t="s">
        <v>6</v>
      </c>
      <c r="DF211" s="2" t="s">
        <v>6</v>
      </c>
      <c r="DG211" s="2" t="s">
        <v>6</v>
      </c>
      <c r="DH211" s="2" t="s">
        <v>6</v>
      </c>
      <c r="DI211" s="2" t="s">
        <v>6</v>
      </c>
      <c r="DJ211" s="2" t="s">
        <v>6</v>
      </c>
      <c r="DK211" s="2" t="s">
        <v>6</v>
      </c>
      <c r="DL211" s="2" t="s">
        <v>6</v>
      </c>
      <c r="DM211" s="2" t="s">
        <v>6</v>
      </c>
      <c r="DN211" s="2">
        <v>0</v>
      </c>
      <c r="DO211" s="2">
        <v>0</v>
      </c>
      <c r="DP211" s="2">
        <v>1</v>
      </c>
      <c r="DQ211" s="2">
        <v>1</v>
      </c>
      <c r="DR211" s="2"/>
      <c r="DS211" s="2"/>
      <c r="DT211" s="2"/>
      <c r="DU211" s="2">
        <v>1003</v>
      </c>
      <c r="DV211" s="2" t="s">
        <v>270</v>
      </c>
      <c r="DW211" s="2" t="s">
        <v>270</v>
      </c>
      <c r="DX211" s="2">
        <v>100</v>
      </c>
      <c r="DY211" s="2"/>
      <c r="DZ211" s="2" t="s">
        <v>6</v>
      </c>
      <c r="EA211" s="2" t="s">
        <v>6</v>
      </c>
      <c r="EB211" s="2" t="s">
        <v>6</v>
      </c>
      <c r="EC211" s="2" t="s">
        <v>6</v>
      </c>
      <c r="ED211" s="2"/>
      <c r="EE211" s="2">
        <v>69253299</v>
      </c>
      <c r="EF211" s="2">
        <v>60</v>
      </c>
      <c r="EG211" s="2" t="s">
        <v>127</v>
      </c>
      <c r="EH211" s="2">
        <v>0</v>
      </c>
      <c r="EI211" s="2" t="s">
        <v>6</v>
      </c>
      <c r="EJ211" s="2">
        <v>1</v>
      </c>
      <c r="EK211" s="2">
        <v>674</v>
      </c>
      <c r="EL211" s="2" t="s">
        <v>128</v>
      </c>
      <c r="EM211" s="2" t="s">
        <v>129</v>
      </c>
      <c r="EN211" s="2"/>
      <c r="EO211" s="2" t="s">
        <v>6</v>
      </c>
      <c r="EP211" s="2"/>
      <c r="EQ211" s="2">
        <v>1024</v>
      </c>
      <c r="ER211" s="2">
        <v>857.51</v>
      </c>
      <c r="ES211" s="2">
        <v>0</v>
      </c>
      <c r="ET211" s="2">
        <v>0</v>
      </c>
      <c r="EU211" s="2">
        <v>0</v>
      </c>
      <c r="EV211" s="2">
        <v>857.51</v>
      </c>
      <c r="EW211" s="2">
        <v>76.7</v>
      </c>
      <c r="EX211" s="2">
        <v>0</v>
      </c>
      <c r="EY211" s="2">
        <v>0</v>
      </c>
      <c r="EZ211" s="2"/>
      <c r="FA211" s="2"/>
      <c r="FB211" s="2"/>
      <c r="FC211" s="2"/>
      <c r="FD211" s="2"/>
      <c r="FE211" s="2"/>
      <c r="FF211" s="2"/>
      <c r="FG211" s="2"/>
      <c r="FH211" s="2"/>
      <c r="FI211" s="2"/>
      <c r="FJ211" s="2"/>
      <c r="FK211" s="2"/>
      <c r="FL211" s="2"/>
      <c r="FM211" s="2"/>
      <c r="FN211" s="2"/>
      <c r="FO211" s="2"/>
      <c r="FP211" s="2"/>
      <c r="FQ211" s="2">
        <v>0</v>
      </c>
      <c r="FR211" s="2">
        <f t="shared" ref="FR211:FR220" si="315">ROUND(IF(BI211=3,GM211,0),2)</f>
        <v>0</v>
      </c>
      <c r="FS211" s="2">
        <v>0</v>
      </c>
      <c r="FT211" s="2"/>
      <c r="FU211" s="2"/>
      <c r="FV211" s="2"/>
      <c r="FW211" s="2"/>
      <c r="FX211" s="2">
        <v>80</v>
      </c>
      <c r="FY211" s="2">
        <v>55</v>
      </c>
      <c r="FZ211" s="2"/>
      <c r="GA211" s="2" t="s">
        <v>6</v>
      </c>
      <c r="GB211" s="2"/>
      <c r="GC211" s="2"/>
      <c r="GD211" s="2">
        <v>0</v>
      </c>
      <c r="GE211" s="2"/>
      <c r="GF211" s="2">
        <v>-907566466</v>
      </c>
      <c r="GG211" s="2">
        <v>2</v>
      </c>
      <c r="GH211" s="2">
        <v>1</v>
      </c>
      <c r="GI211" s="2">
        <v>-2</v>
      </c>
      <c r="GJ211" s="2">
        <v>0</v>
      </c>
      <c r="GK211" s="2">
        <f>ROUND(R211*(R12)/100,2)</f>
        <v>0</v>
      </c>
      <c r="GL211" s="2">
        <f t="shared" ref="GL211:GL220" si="316">ROUND(IF(AND(BH211=3,BI211=3,FS211&lt;&gt;0),P211,0),2)</f>
        <v>0</v>
      </c>
      <c r="GM211" s="2">
        <f t="shared" ref="GM211:GM220" si="317">ROUND(O211+X211+Y211+GK211,2)+GX211</f>
        <v>379.79</v>
      </c>
      <c r="GN211" s="2">
        <f t="shared" ref="GN211:GN220" si="318">IF(OR(BI211=0,BI211=1),GM211-GX211,0)</f>
        <v>379.79</v>
      </c>
      <c r="GO211" s="2">
        <f t="shared" ref="GO211:GO220" si="319">IF(BI211=2,GM211-GX211,0)</f>
        <v>0</v>
      </c>
      <c r="GP211" s="2">
        <f t="shared" ref="GP211:GP220" si="320">IF(BI211=4,GM211-GX211,0)</f>
        <v>0</v>
      </c>
      <c r="GQ211" s="2"/>
      <c r="GR211" s="2">
        <v>0</v>
      </c>
      <c r="GS211" s="2">
        <v>3</v>
      </c>
      <c r="GT211" s="2">
        <v>0</v>
      </c>
      <c r="GU211" s="2" t="s">
        <v>6</v>
      </c>
      <c r="GV211" s="2">
        <f t="shared" ref="GV211:GV220" si="321">ROUND((GT211),6)</f>
        <v>0</v>
      </c>
      <c r="GW211" s="2">
        <v>1</v>
      </c>
      <c r="GX211" s="2">
        <f t="shared" ref="GX211:GX220" si="322">ROUND(HC211*I211,2)</f>
        <v>0</v>
      </c>
      <c r="GY211" s="2"/>
      <c r="GZ211" s="2"/>
      <c r="HA211" s="2">
        <v>0</v>
      </c>
      <c r="HB211" s="2">
        <v>0</v>
      </c>
      <c r="HC211" s="2">
        <f t="shared" ref="HC211:HC220" si="323">GV211*GW211</f>
        <v>0</v>
      </c>
      <c r="HD211" s="2"/>
      <c r="HE211" s="2" t="s">
        <v>6</v>
      </c>
      <c r="HF211" s="2" t="s">
        <v>6</v>
      </c>
      <c r="HG211" s="2"/>
      <c r="HH211" s="2"/>
      <c r="HI211" s="2"/>
      <c r="HJ211" s="2"/>
      <c r="HK211" s="2"/>
      <c r="HL211" s="2"/>
      <c r="HM211" s="2" t="s">
        <v>6</v>
      </c>
      <c r="HN211" s="2" t="s">
        <v>6</v>
      </c>
      <c r="HO211" s="2" t="s">
        <v>6</v>
      </c>
      <c r="HP211" s="2" t="s">
        <v>6</v>
      </c>
      <c r="HQ211" s="2" t="s">
        <v>6</v>
      </c>
      <c r="HR211" s="2"/>
      <c r="HS211" s="2"/>
      <c r="HT211" s="2"/>
      <c r="HU211" s="2"/>
      <c r="HV211" s="2"/>
      <c r="HW211" s="2"/>
      <c r="HX211" s="2"/>
      <c r="HY211" s="2"/>
      <c r="HZ211" s="2"/>
      <c r="IA211" s="2"/>
      <c r="IB211" s="2"/>
      <c r="IC211" s="2"/>
      <c r="ID211" s="2"/>
      <c r="IE211" s="2"/>
      <c r="IF211" s="2"/>
      <c r="IG211" s="2"/>
      <c r="IH211" s="2"/>
      <c r="II211" s="2"/>
      <c r="IJ211" s="2"/>
      <c r="IK211" s="2">
        <v>0</v>
      </c>
      <c r="IL211" s="2"/>
      <c r="IM211" s="2"/>
      <c r="IN211" s="2"/>
      <c r="IO211" s="2"/>
      <c r="IP211" s="2"/>
      <c r="IQ211" s="2"/>
      <c r="IR211" s="2"/>
      <c r="IS211" s="2"/>
      <c r="IT211" s="2"/>
      <c r="IU211" s="2"/>
    </row>
    <row r="212" spans="1:255">
      <c r="A212">
        <v>17</v>
      </c>
      <c r="B212">
        <v>1</v>
      </c>
      <c r="E212" t="s">
        <v>6</v>
      </c>
      <c r="F212" t="s">
        <v>268</v>
      </c>
      <c r="G212" t="s">
        <v>269</v>
      </c>
      <c r="H212" t="s">
        <v>270</v>
      </c>
      <c r="I212">
        <f>ROUND((18)/100,9)</f>
        <v>0.18</v>
      </c>
      <c r="J212">
        <v>0</v>
      </c>
      <c r="K212">
        <f>ROUND((18)/100,9)</f>
        <v>0.18</v>
      </c>
      <c r="O212">
        <f t="shared" si="286"/>
        <v>7542.34</v>
      </c>
      <c r="P212">
        <f t="shared" si="287"/>
        <v>0</v>
      </c>
      <c r="Q212">
        <f t="shared" si="288"/>
        <v>0</v>
      </c>
      <c r="R212">
        <f t="shared" si="289"/>
        <v>0</v>
      </c>
      <c r="S212">
        <f t="shared" si="290"/>
        <v>7542.34</v>
      </c>
      <c r="T212">
        <f t="shared" si="291"/>
        <v>0</v>
      </c>
      <c r="U212">
        <f t="shared" si="292"/>
        <v>14.454882</v>
      </c>
      <c r="V212">
        <f t="shared" si="293"/>
        <v>0</v>
      </c>
      <c r="W212">
        <f t="shared" si="294"/>
        <v>0</v>
      </c>
      <c r="X212">
        <f t="shared" si="295"/>
        <v>5279.64</v>
      </c>
      <c r="Y212">
        <f t="shared" si="296"/>
        <v>3092.36</v>
      </c>
      <c r="AA212">
        <v>-1</v>
      </c>
      <c r="AB212">
        <f t="shared" si="297"/>
        <v>857.51</v>
      </c>
      <c r="AC212">
        <f t="shared" si="298"/>
        <v>0</v>
      </c>
      <c r="AD212">
        <f t="shared" si="299"/>
        <v>0</v>
      </c>
      <c r="AE212">
        <f t="shared" si="300"/>
        <v>0</v>
      </c>
      <c r="AF212">
        <f t="shared" si="301"/>
        <v>857.51</v>
      </c>
      <c r="AG212">
        <f t="shared" si="302"/>
        <v>0</v>
      </c>
      <c r="AH212">
        <f t="shared" si="303"/>
        <v>76.7</v>
      </c>
      <c r="AI212">
        <f t="shared" si="304"/>
        <v>0</v>
      </c>
      <c r="AJ212">
        <f t="shared" si="305"/>
        <v>0</v>
      </c>
      <c r="AK212">
        <v>857.51</v>
      </c>
      <c r="AL212">
        <v>0</v>
      </c>
      <c r="AM212">
        <v>0</v>
      </c>
      <c r="AN212">
        <v>0</v>
      </c>
      <c r="AO212">
        <v>857.51</v>
      </c>
      <c r="AP212">
        <v>0</v>
      </c>
      <c r="AQ212">
        <v>76.7</v>
      </c>
      <c r="AR212">
        <v>0</v>
      </c>
      <c r="AS212">
        <v>0</v>
      </c>
      <c r="AT212">
        <v>70</v>
      </c>
      <c r="AU212">
        <v>41</v>
      </c>
      <c r="AV212">
        <v>1.0469999999999999</v>
      </c>
      <c r="AW212">
        <v>1</v>
      </c>
      <c r="AZ212">
        <v>1</v>
      </c>
      <c r="BA212">
        <v>46.67</v>
      </c>
      <c r="BB212">
        <v>1</v>
      </c>
      <c r="BC212">
        <v>1</v>
      </c>
      <c r="BD212" t="s">
        <v>6</v>
      </c>
      <c r="BE212" t="s">
        <v>6</v>
      </c>
      <c r="BF212" t="s">
        <v>6</v>
      </c>
      <c r="BG212" t="s">
        <v>6</v>
      </c>
      <c r="BH212">
        <v>0</v>
      </c>
      <c r="BI212">
        <v>1</v>
      </c>
      <c r="BJ212" t="s">
        <v>271</v>
      </c>
      <c r="BM212">
        <v>674</v>
      </c>
      <c r="BN212">
        <v>0</v>
      </c>
      <c r="BO212" t="s">
        <v>268</v>
      </c>
      <c r="BP212">
        <v>1</v>
      </c>
      <c r="BQ212">
        <v>60</v>
      </c>
      <c r="BR212">
        <v>0</v>
      </c>
      <c r="BS212">
        <v>46.67</v>
      </c>
      <c r="BT212">
        <v>1</v>
      </c>
      <c r="BU212">
        <v>1</v>
      </c>
      <c r="BV212">
        <v>1</v>
      </c>
      <c r="BW212">
        <v>1</v>
      </c>
      <c r="BX212">
        <v>1</v>
      </c>
      <c r="BY212" t="s">
        <v>6</v>
      </c>
      <c r="BZ212">
        <v>70</v>
      </c>
      <c r="CA212">
        <v>41</v>
      </c>
      <c r="CB212" t="s">
        <v>6</v>
      </c>
      <c r="CE212">
        <v>30</v>
      </c>
      <c r="CF212">
        <v>0</v>
      </c>
      <c r="CG212">
        <v>0</v>
      </c>
      <c r="CM212">
        <v>0</v>
      </c>
      <c r="CN212" t="s">
        <v>6</v>
      </c>
      <c r="CO212">
        <v>0</v>
      </c>
      <c r="CP212">
        <f t="shared" si="306"/>
        <v>7542.34</v>
      </c>
      <c r="CQ212">
        <f t="shared" si="307"/>
        <v>0</v>
      </c>
      <c r="CR212">
        <f t="shared" si="308"/>
        <v>0</v>
      </c>
      <c r="CS212">
        <f t="shared" si="309"/>
        <v>0</v>
      </c>
      <c r="CT212">
        <f t="shared" si="310"/>
        <v>41900.79</v>
      </c>
      <c r="CU212">
        <f t="shared" si="311"/>
        <v>0</v>
      </c>
      <c r="CV212">
        <f t="shared" si="312"/>
        <v>80.304900000000004</v>
      </c>
      <c r="CW212">
        <f t="shared" si="313"/>
        <v>0</v>
      </c>
      <c r="CX212">
        <f t="shared" si="314"/>
        <v>0</v>
      </c>
      <c r="CY212">
        <f>S212*(BZ212/100)</f>
        <v>5279.6379999999999</v>
      </c>
      <c r="CZ212">
        <f>S212*(CA212/100)</f>
        <v>3092.3593999999998</v>
      </c>
      <c r="DC212" t="s">
        <v>6</v>
      </c>
      <c r="DD212" t="s">
        <v>6</v>
      </c>
      <c r="DE212" t="s">
        <v>6</v>
      </c>
      <c r="DF212" t="s">
        <v>6</v>
      </c>
      <c r="DG212" t="s">
        <v>6</v>
      </c>
      <c r="DH212" t="s">
        <v>6</v>
      </c>
      <c r="DI212" t="s">
        <v>6</v>
      </c>
      <c r="DJ212" t="s">
        <v>6</v>
      </c>
      <c r="DK212" t="s">
        <v>6</v>
      </c>
      <c r="DL212" t="s">
        <v>6</v>
      </c>
      <c r="DM212" t="s">
        <v>6</v>
      </c>
      <c r="DN212">
        <v>80</v>
      </c>
      <c r="DO212">
        <v>55</v>
      </c>
      <c r="DP212">
        <v>1.0469999999999999</v>
      </c>
      <c r="DQ212">
        <v>1</v>
      </c>
      <c r="DU212">
        <v>1003</v>
      </c>
      <c r="DV212" t="s">
        <v>270</v>
      </c>
      <c r="DW212" t="s">
        <v>270</v>
      </c>
      <c r="DX212">
        <v>100</v>
      </c>
      <c r="DZ212" t="s">
        <v>6</v>
      </c>
      <c r="EA212" t="s">
        <v>6</v>
      </c>
      <c r="EB212" t="s">
        <v>6</v>
      </c>
      <c r="EC212" t="s">
        <v>6</v>
      </c>
      <c r="EE212">
        <v>69253299</v>
      </c>
      <c r="EF212">
        <v>60</v>
      </c>
      <c r="EG212" t="s">
        <v>127</v>
      </c>
      <c r="EH212">
        <v>0</v>
      </c>
      <c r="EI212" t="s">
        <v>6</v>
      </c>
      <c r="EJ212">
        <v>1</v>
      </c>
      <c r="EK212">
        <v>674</v>
      </c>
      <c r="EL212" t="s">
        <v>128</v>
      </c>
      <c r="EM212" t="s">
        <v>129</v>
      </c>
      <c r="EO212" t="s">
        <v>6</v>
      </c>
      <c r="EQ212">
        <v>1024</v>
      </c>
      <c r="ER212">
        <v>857.51</v>
      </c>
      <c r="ES212">
        <v>0</v>
      </c>
      <c r="ET212">
        <v>0</v>
      </c>
      <c r="EU212">
        <v>0</v>
      </c>
      <c r="EV212">
        <v>857.51</v>
      </c>
      <c r="EW212">
        <v>76.7</v>
      </c>
      <c r="EX212">
        <v>0</v>
      </c>
      <c r="EY212">
        <v>0</v>
      </c>
      <c r="FQ212">
        <v>0</v>
      </c>
      <c r="FR212">
        <f t="shared" si="315"/>
        <v>0</v>
      </c>
      <c r="FS212">
        <v>0</v>
      </c>
      <c r="FX212">
        <v>80</v>
      </c>
      <c r="FY212">
        <v>55</v>
      </c>
      <c r="GA212" t="s">
        <v>6</v>
      </c>
      <c r="GD212">
        <v>0</v>
      </c>
      <c r="GF212">
        <v>-907566466</v>
      </c>
      <c r="GG212">
        <v>2</v>
      </c>
      <c r="GH212">
        <v>1</v>
      </c>
      <c r="GI212">
        <v>2</v>
      </c>
      <c r="GJ212">
        <v>0</v>
      </c>
      <c r="GK212">
        <f>ROUND(R212*(S12)/100,2)</f>
        <v>0</v>
      </c>
      <c r="GL212">
        <f t="shared" si="316"/>
        <v>0</v>
      </c>
      <c r="GM212">
        <f t="shared" si="317"/>
        <v>15914.34</v>
      </c>
      <c r="GN212">
        <f t="shared" si="318"/>
        <v>15914.34</v>
      </c>
      <c r="GO212">
        <f t="shared" si="319"/>
        <v>0</v>
      </c>
      <c r="GP212">
        <f t="shared" si="320"/>
        <v>0</v>
      </c>
      <c r="GR212">
        <v>0</v>
      </c>
      <c r="GS212">
        <v>0</v>
      </c>
      <c r="GT212">
        <v>0</v>
      </c>
      <c r="GU212" t="s">
        <v>6</v>
      </c>
      <c r="GV212">
        <f t="shared" si="321"/>
        <v>0</v>
      </c>
      <c r="GW212">
        <v>1</v>
      </c>
      <c r="GX212">
        <f t="shared" si="322"/>
        <v>0</v>
      </c>
      <c r="HA212">
        <v>0</v>
      </c>
      <c r="HB212">
        <v>0</v>
      </c>
      <c r="HC212">
        <f t="shared" si="323"/>
        <v>0</v>
      </c>
      <c r="HE212" t="s">
        <v>6</v>
      </c>
      <c r="HF212" t="s">
        <v>6</v>
      </c>
      <c r="HM212" t="s">
        <v>6</v>
      </c>
      <c r="HN212" t="s">
        <v>6</v>
      </c>
      <c r="HO212" t="s">
        <v>6</v>
      </c>
      <c r="HP212" t="s">
        <v>6</v>
      </c>
      <c r="HQ212" t="s">
        <v>6</v>
      </c>
      <c r="IK212">
        <v>0</v>
      </c>
    </row>
    <row r="213" spans="1:255">
      <c r="A213" s="2">
        <v>17</v>
      </c>
      <c r="B213" s="2">
        <v>1</v>
      </c>
      <c r="C213" s="2"/>
      <c r="D213" s="2"/>
      <c r="E213" s="2" t="s">
        <v>6</v>
      </c>
      <c r="F213" s="2" t="s">
        <v>139</v>
      </c>
      <c r="G213" s="2" t="s">
        <v>272</v>
      </c>
      <c r="H213" s="2" t="s">
        <v>141</v>
      </c>
      <c r="I213" s="2">
        <f>ROUND(((18*90))/1000,9)</f>
        <v>1.62</v>
      </c>
      <c r="J213" s="2">
        <v>0</v>
      </c>
      <c r="K213" s="2">
        <f>ROUND(((18*90))/1000,9)</f>
        <v>1.62</v>
      </c>
      <c r="L213" s="2"/>
      <c r="M213" s="2"/>
      <c r="N213" s="2"/>
      <c r="O213" s="2">
        <f t="shared" si="286"/>
        <v>15.03</v>
      </c>
      <c r="P213" s="2">
        <f t="shared" si="287"/>
        <v>0</v>
      </c>
      <c r="Q213" s="2">
        <f t="shared" si="288"/>
        <v>15.03</v>
      </c>
      <c r="R213" s="2">
        <f t="shared" si="289"/>
        <v>2.5099999999999998</v>
      </c>
      <c r="S213" s="2">
        <f t="shared" si="290"/>
        <v>0</v>
      </c>
      <c r="T213" s="2">
        <f t="shared" si="291"/>
        <v>0</v>
      </c>
      <c r="U213" s="2">
        <f t="shared" si="292"/>
        <v>0</v>
      </c>
      <c r="V213" s="2">
        <f t="shared" si="293"/>
        <v>0</v>
      </c>
      <c r="W213" s="2">
        <f t="shared" si="294"/>
        <v>0</v>
      </c>
      <c r="X213" s="2">
        <f t="shared" si="295"/>
        <v>0</v>
      </c>
      <c r="Y213" s="2">
        <f t="shared" si="296"/>
        <v>0</v>
      </c>
      <c r="Z213" s="2"/>
      <c r="AA213" s="2">
        <v>-1</v>
      </c>
      <c r="AB213" s="2">
        <f t="shared" si="297"/>
        <v>8.86</v>
      </c>
      <c r="AC213" s="2">
        <f t="shared" si="298"/>
        <v>0</v>
      </c>
      <c r="AD213" s="2">
        <f t="shared" si="299"/>
        <v>8.86</v>
      </c>
      <c r="AE213" s="2">
        <f t="shared" si="300"/>
        <v>1.48</v>
      </c>
      <c r="AF213" s="2">
        <f t="shared" si="301"/>
        <v>0</v>
      </c>
      <c r="AG213" s="2">
        <f t="shared" si="302"/>
        <v>0</v>
      </c>
      <c r="AH213" s="2">
        <f t="shared" si="303"/>
        <v>0</v>
      </c>
      <c r="AI213" s="2">
        <f t="shared" si="304"/>
        <v>0</v>
      </c>
      <c r="AJ213" s="2">
        <f t="shared" si="305"/>
        <v>0</v>
      </c>
      <c r="AK213" s="2">
        <v>8.86</v>
      </c>
      <c r="AL213" s="2">
        <v>0</v>
      </c>
      <c r="AM213" s="2">
        <v>8.86</v>
      </c>
      <c r="AN213" s="2">
        <v>1.48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91</v>
      </c>
      <c r="AU213" s="2">
        <v>70</v>
      </c>
      <c r="AV213" s="2">
        <v>1.0469999999999999</v>
      </c>
      <c r="AW213" s="2">
        <v>1.002</v>
      </c>
      <c r="AX213" s="2"/>
      <c r="AY213" s="2"/>
      <c r="AZ213" s="2">
        <v>1</v>
      </c>
      <c r="BA213" s="2">
        <v>1</v>
      </c>
      <c r="BB213" s="2">
        <v>1</v>
      </c>
      <c r="BC213" s="2">
        <v>1</v>
      </c>
      <c r="BD213" s="2" t="s">
        <v>6</v>
      </c>
      <c r="BE213" s="2" t="s">
        <v>6</v>
      </c>
      <c r="BF213" s="2" t="s">
        <v>6</v>
      </c>
      <c r="BG213" s="2" t="s">
        <v>6</v>
      </c>
      <c r="BH213" s="2">
        <v>0</v>
      </c>
      <c r="BI213" s="2">
        <v>1</v>
      </c>
      <c r="BJ213" s="2" t="s">
        <v>142</v>
      </c>
      <c r="BK213" s="2"/>
      <c r="BL213" s="2"/>
      <c r="BM213" s="2">
        <v>658</v>
      </c>
      <c r="BN213" s="2">
        <v>0</v>
      </c>
      <c r="BO213" s="2" t="s">
        <v>6</v>
      </c>
      <c r="BP213" s="2">
        <v>0</v>
      </c>
      <c r="BQ213" s="2">
        <v>60</v>
      </c>
      <c r="BR213" s="2">
        <v>0</v>
      </c>
      <c r="BS213" s="2">
        <v>1</v>
      </c>
      <c r="BT213" s="2">
        <v>1</v>
      </c>
      <c r="BU213" s="2">
        <v>1</v>
      </c>
      <c r="BV213" s="2">
        <v>1</v>
      </c>
      <c r="BW213" s="2">
        <v>1</v>
      </c>
      <c r="BX213" s="2">
        <v>1</v>
      </c>
      <c r="BY213" s="2" t="s">
        <v>6</v>
      </c>
      <c r="BZ213" s="2">
        <v>91</v>
      </c>
      <c r="CA213" s="2">
        <v>70</v>
      </c>
      <c r="CB213" s="2" t="s">
        <v>6</v>
      </c>
      <c r="CC213" s="2"/>
      <c r="CD213" s="2"/>
      <c r="CE213" s="2">
        <v>30</v>
      </c>
      <c r="CF213" s="2">
        <v>0</v>
      </c>
      <c r="CG213" s="2">
        <v>0</v>
      </c>
      <c r="CH213" s="2"/>
      <c r="CI213" s="2"/>
      <c r="CJ213" s="2"/>
      <c r="CK213" s="2"/>
      <c r="CL213" s="2"/>
      <c r="CM213" s="2">
        <v>0</v>
      </c>
      <c r="CN213" s="2" t="s">
        <v>6</v>
      </c>
      <c r="CO213" s="2">
        <v>0</v>
      </c>
      <c r="CP213" s="2">
        <f t="shared" si="306"/>
        <v>15.03</v>
      </c>
      <c r="CQ213" s="2">
        <f t="shared" si="307"/>
        <v>0</v>
      </c>
      <c r="CR213" s="2">
        <f t="shared" si="308"/>
        <v>9.2799999999999994</v>
      </c>
      <c r="CS213" s="2">
        <f t="shared" si="309"/>
        <v>1.55</v>
      </c>
      <c r="CT213" s="2">
        <f t="shared" si="310"/>
        <v>0</v>
      </c>
      <c r="CU213" s="2">
        <f t="shared" si="311"/>
        <v>0</v>
      </c>
      <c r="CV213" s="2">
        <f t="shared" si="312"/>
        <v>0</v>
      </c>
      <c r="CW213" s="2">
        <f t="shared" si="313"/>
        <v>0</v>
      </c>
      <c r="CX213" s="2">
        <f t="shared" si="314"/>
        <v>0</v>
      </c>
      <c r="CY213" s="2">
        <f>((S213*BZ213)/100)</f>
        <v>0</v>
      </c>
      <c r="CZ213" s="2">
        <f>((S213*CA213)/100)</f>
        <v>0</v>
      </c>
      <c r="DA213" s="2"/>
      <c r="DB213" s="2"/>
      <c r="DC213" s="2" t="s">
        <v>6</v>
      </c>
      <c r="DD213" s="2" t="s">
        <v>6</v>
      </c>
      <c r="DE213" s="2" t="s">
        <v>6</v>
      </c>
      <c r="DF213" s="2" t="s">
        <v>6</v>
      </c>
      <c r="DG213" s="2" t="s">
        <v>6</v>
      </c>
      <c r="DH213" s="2" t="s">
        <v>6</v>
      </c>
      <c r="DI213" s="2" t="s">
        <v>6</v>
      </c>
      <c r="DJ213" s="2" t="s">
        <v>6</v>
      </c>
      <c r="DK213" s="2" t="s">
        <v>6</v>
      </c>
      <c r="DL213" s="2" t="s">
        <v>6</v>
      </c>
      <c r="DM213" s="2" t="s">
        <v>6</v>
      </c>
      <c r="DN213" s="2">
        <v>0</v>
      </c>
      <c r="DO213" s="2">
        <v>0</v>
      </c>
      <c r="DP213" s="2">
        <v>1</v>
      </c>
      <c r="DQ213" s="2">
        <v>1</v>
      </c>
      <c r="DR213" s="2"/>
      <c r="DS213" s="2"/>
      <c r="DT213" s="2"/>
      <c r="DU213" s="2">
        <v>1013</v>
      </c>
      <c r="DV213" s="2" t="s">
        <v>141</v>
      </c>
      <c r="DW213" s="2" t="s">
        <v>141</v>
      </c>
      <c r="DX213" s="2">
        <v>1</v>
      </c>
      <c r="DY213" s="2"/>
      <c r="DZ213" s="2" t="s">
        <v>6</v>
      </c>
      <c r="EA213" s="2" t="s">
        <v>6</v>
      </c>
      <c r="EB213" s="2" t="s">
        <v>6</v>
      </c>
      <c r="EC213" s="2" t="s">
        <v>6</v>
      </c>
      <c r="ED213" s="2"/>
      <c r="EE213" s="2">
        <v>69253283</v>
      </c>
      <c r="EF213" s="2">
        <v>60</v>
      </c>
      <c r="EG213" s="2" t="s">
        <v>127</v>
      </c>
      <c r="EH213" s="2">
        <v>0</v>
      </c>
      <c r="EI213" s="2" t="s">
        <v>6</v>
      </c>
      <c r="EJ213" s="2">
        <v>1</v>
      </c>
      <c r="EK213" s="2">
        <v>658</v>
      </c>
      <c r="EL213" s="2" t="s">
        <v>143</v>
      </c>
      <c r="EM213" s="2" t="s">
        <v>144</v>
      </c>
      <c r="EN213" s="2"/>
      <c r="EO213" s="2" t="s">
        <v>6</v>
      </c>
      <c r="EP213" s="2"/>
      <c r="EQ213" s="2">
        <v>1024</v>
      </c>
      <c r="ER213" s="2">
        <v>8.86</v>
      </c>
      <c r="ES213" s="2">
        <v>0</v>
      </c>
      <c r="ET213" s="2">
        <v>8.86</v>
      </c>
      <c r="EU213" s="2">
        <v>1.48</v>
      </c>
      <c r="EV213" s="2">
        <v>0</v>
      </c>
      <c r="EW213" s="2">
        <v>0</v>
      </c>
      <c r="EX213" s="2">
        <v>0</v>
      </c>
      <c r="EY213" s="2">
        <v>0</v>
      </c>
      <c r="EZ213" s="2"/>
      <c r="FA213" s="2"/>
      <c r="FB213" s="2"/>
      <c r="FC213" s="2"/>
      <c r="FD213" s="2"/>
      <c r="FE213" s="2"/>
      <c r="FF213" s="2"/>
      <c r="FG213" s="2"/>
      <c r="FH213" s="2"/>
      <c r="FI213" s="2"/>
      <c r="FJ213" s="2"/>
      <c r="FK213" s="2"/>
      <c r="FL213" s="2"/>
      <c r="FM213" s="2"/>
      <c r="FN213" s="2"/>
      <c r="FO213" s="2"/>
      <c r="FP213" s="2"/>
      <c r="FQ213" s="2">
        <v>0</v>
      </c>
      <c r="FR213" s="2">
        <f t="shared" si="315"/>
        <v>0</v>
      </c>
      <c r="FS213" s="2">
        <v>0</v>
      </c>
      <c r="FT213" s="2"/>
      <c r="FU213" s="2"/>
      <c r="FV213" s="2"/>
      <c r="FW213" s="2"/>
      <c r="FX213" s="2">
        <v>91</v>
      </c>
      <c r="FY213" s="2">
        <v>70</v>
      </c>
      <c r="FZ213" s="2"/>
      <c r="GA213" s="2" t="s">
        <v>6</v>
      </c>
      <c r="GB213" s="2"/>
      <c r="GC213" s="2"/>
      <c r="GD213" s="2">
        <v>0</v>
      </c>
      <c r="GE213" s="2"/>
      <c r="GF213" s="2">
        <v>485395444</v>
      </c>
      <c r="GG213" s="2">
        <v>2</v>
      </c>
      <c r="GH213" s="2">
        <v>1</v>
      </c>
      <c r="GI213" s="2">
        <v>-2</v>
      </c>
      <c r="GJ213" s="2">
        <v>0</v>
      </c>
      <c r="GK213" s="2">
        <f>ROUND(R213*(R12)/100,2)</f>
        <v>4.3899999999999997</v>
      </c>
      <c r="GL213" s="2">
        <f t="shared" si="316"/>
        <v>0</v>
      </c>
      <c r="GM213" s="2">
        <f t="shared" si="317"/>
        <v>19.420000000000002</v>
      </c>
      <c r="GN213" s="2">
        <f t="shared" si="318"/>
        <v>19.420000000000002</v>
      </c>
      <c r="GO213" s="2">
        <f t="shared" si="319"/>
        <v>0</v>
      </c>
      <c r="GP213" s="2">
        <f t="shared" si="320"/>
        <v>0</v>
      </c>
      <c r="GQ213" s="2"/>
      <c r="GR213" s="2">
        <v>0</v>
      </c>
      <c r="GS213" s="2">
        <v>3</v>
      </c>
      <c r="GT213" s="2">
        <v>0</v>
      </c>
      <c r="GU213" s="2" t="s">
        <v>6</v>
      </c>
      <c r="GV213" s="2">
        <f t="shared" si="321"/>
        <v>0</v>
      </c>
      <c r="GW213" s="2">
        <v>1</v>
      </c>
      <c r="GX213" s="2">
        <f t="shared" si="322"/>
        <v>0</v>
      </c>
      <c r="GY213" s="2"/>
      <c r="GZ213" s="2"/>
      <c r="HA213" s="2">
        <v>0</v>
      </c>
      <c r="HB213" s="2">
        <v>0</v>
      </c>
      <c r="HC213" s="2">
        <f t="shared" si="323"/>
        <v>0</v>
      </c>
      <c r="HD213" s="2"/>
      <c r="HE213" s="2" t="s">
        <v>6</v>
      </c>
      <c r="HF213" s="2" t="s">
        <v>6</v>
      </c>
      <c r="HG213" s="2"/>
      <c r="HH213" s="2"/>
      <c r="HI213" s="2"/>
      <c r="HJ213" s="2"/>
      <c r="HK213" s="2"/>
      <c r="HL213" s="2"/>
      <c r="HM213" s="2" t="s">
        <v>6</v>
      </c>
      <c r="HN213" s="2" t="s">
        <v>6</v>
      </c>
      <c r="HO213" s="2" t="s">
        <v>6</v>
      </c>
      <c r="HP213" s="2" t="s">
        <v>6</v>
      </c>
      <c r="HQ213" s="2" t="s">
        <v>6</v>
      </c>
      <c r="HR213" s="2"/>
      <c r="HS213" s="2"/>
      <c r="HT213" s="2"/>
      <c r="HU213" s="2"/>
      <c r="HV213" s="2"/>
      <c r="HW213" s="2"/>
      <c r="HX213" s="2"/>
      <c r="HY213" s="2"/>
      <c r="HZ213" s="2"/>
      <c r="IA213" s="2"/>
      <c r="IB213" s="2"/>
      <c r="IC213" s="2"/>
      <c r="ID213" s="2"/>
      <c r="IE213" s="2"/>
      <c r="IF213" s="2"/>
      <c r="IG213" s="2"/>
      <c r="IH213" s="2"/>
      <c r="II213" s="2"/>
      <c r="IJ213" s="2"/>
      <c r="IK213" s="2">
        <v>0</v>
      </c>
      <c r="IL213" s="2"/>
      <c r="IM213" s="2"/>
      <c r="IN213" s="2"/>
      <c r="IO213" s="2"/>
      <c r="IP213" s="2"/>
      <c r="IQ213" s="2"/>
      <c r="IR213" s="2"/>
      <c r="IS213" s="2"/>
      <c r="IT213" s="2"/>
      <c r="IU213" s="2"/>
    </row>
    <row r="214" spans="1:255">
      <c r="A214">
        <v>17</v>
      </c>
      <c r="B214">
        <v>1</v>
      </c>
      <c r="E214" t="s">
        <v>6</v>
      </c>
      <c r="F214" t="s">
        <v>139</v>
      </c>
      <c r="G214" t="s">
        <v>272</v>
      </c>
      <c r="H214" t="s">
        <v>141</v>
      </c>
      <c r="I214">
        <f>ROUND(((18*90))/1000,9)</f>
        <v>1.62</v>
      </c>
      <c r="J214">
        <v>0</v>
      </c>
      <c r="K214">
        <f>ROUND(((18*90))/1000,9)</f>
        <v>1.62</v>
      </c>
      <c r="O214">
        <f t="shared" si="286"/>
        <v>242.58</v>
      </c>
      <c r="P214">
        <f t="shared" si="287"/>
        <v>0</v>
      </c>
      <c r="Q214">
        <f t="shared" si="288"/>
        <v>242.58</v>
      </c>
      <c r="R214">
        <f t="shared" si="289"/>
        <v>117.14</v>
      </c>
      <c r="S214">
        <f t="shared" si="290"/>
        <v>0</v>
      </c>
      <c r="T214">
        <f t="shared" si="291"/>
        <v>0</v>
      </c>
      <c r="U214">
        <f t="shared" si="292"/>
        <v>0</v>
      </c>
      <c r="V214">
        <f t="shared" si="293"/>
        <v>0</v>
      </c>
      <c r="W214">
        <f t="shared" si="294"/>
        <v>0</v>
      </c>
      <c r="X214">
        <f t="shared" si="295"/>
        <v>0</v>
      </c>
      <c r="Y214">
        <f t="shared" si="296"/>
        <v>0</v>
      </c>
      <c r="AA214">
        <v>-1</v>
      </c>
      <c r="AB214">
        <f t="shared" si="297"/>
        <v>8.86</v>
      </c>
      <c r="AC214">
        <f t="shared" si="298"/>
        <v>0</v>
      </c>
      <c r="AD214">
        <f t="shared" si="299"/>
        <v>8.86</v>
      </c>
      <c r="AE214">
        <f t="shared" si="300"/>
        <v>1.48</v>
      </c>
      <c r="AF214">
        <f t="shared" si="301"/>
        <v>0</v>
      </c>
      <c r="AG214">
        <f t="shared" si="302"/>
        <v>0</v>
      </c>
      <c r="AH214">
        <f t="shared" si="303"/>
        <v>0</v>
      </c>
      <c r="AI214">
        <f t="shared" si="304"/>
        <v>0</v>
      </c>
      <c r="AJ214">
        <f t="shared" si="305"/>
        <v>0</v>
      </c>
      <c r="AK214">
        <v>8.86</v>
      </c>
      <c r="AL214">
        <v>0</v>
      </c>
      <c r="AM214">
        <v>8.86</v>
      </c>
      <c r="AN214">
        <v>1.48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75</v>
      </c>
      <c r="AU214">
        <v>41</v>
      </c>
      <c r="AV214">
        <v>1.0469999999999999</v>
      </c>
      <c r="AW214">
        <v>1.002</v>
      </c>
      <c r="AZ214">
        <v>1</v>
      </c>
      <c r="BA214">
        <v>46.67</v>
      </c>
      <c r="BB214">
        <v>16.14</v>
      </c>
      <c r="BC214">
        <v>1</v>
      </c>
      <c r="BD214" t="s">
        <v>6</v>
      </c>
      <c r="BE214" t="s">
        <v>6</v>
      </c>
      <c r="BF214" t="s">
        <v>6</v>
      </c>
      <c r="BG214" t="s">
        <v>6</v>
      </c>
      <c r="BH214">
        <v>0</v>
      </c>
      <c r="BI214">
        <v>1</v>
      </c>
      <c r="BJ214" t="s">
        <v>142</v>
      </c>
      <c r="BM214">
        <v>658</v>
      </c>
      <c r="BN214">
        <v>0</v>
      </c>
      <c r="BO214" t="s">
        <v>139</v>
      </c>
      <c r="BP214">
        <v>1</v>
      </c>
      <c r="BQ214">
        <v>60</v>
      </c>
      <c r="BR214">
        <v>0</v>
      </c>
      <c r="BS214">
        <v>46.67</v>
      </c>
      <c r="BT214">
        <v>1</v>
      </c>
      <c r="BU214">
        <v>1</v>
      </c>
      <c r="BV214">
        <v>1</v>
      </c>
      <c r="BW214">
        <v>1</v>
      </c>
      <c r="BX214">
        <v>1</v>
      </c>
      <c r="BY214" t="s">
        <v>6</v>
      </c>
      <c r="BZ214">
        <v>75</v>
      </c>
      <c r="CA214">
        <v>41</v>
      </c>
      <c r="CB214" t="s">
        <v>6</v>
      </c>
      <c r="CE214">
        <v>30</v>
      </c>
      <c r="CF214">
        <v>0</v>
      </c>
      <c r="CG214">
        <v>0</v>
      </c>
      <c r="CM214">
        <v>0</v>
      </c>
      <c r="CN214" t="s">
        <v>6</v>
      </c>
      <c r="CO214">
        <v>0</v>
      </c>
      <c r="CP214">
        <f t="shared" si="306"/>
        <v>242.58</v>
      </c>
      <c r="CQ214">
        <f t="shared" si="307"/>
        <v>0</v>
      </c>
      <c r="CR214">
        <f t="shared" si="308"/>
        <v>149.78</v>
      </c>
      <c r="CS214">
        <f t="shared" si="309"/>
        <v>72.34</v>
      </c>
      <c r="CT214">
        <f t="shared" si="310"/>
        <v>0</v>
      </c>
      <c r="CU214">
        <f t="shared" si="311"/>
        <v>0</v>
      </c>
      <c r="CV214">
        <f t="shared" si="312"/>
        <v>0</v>
      </c>
      <c r="CW214">
        <f t="shared" si="313"/>
        <v>0</v>
      </c>
      <c r="CX214">
        <f t="shared" si="314"/>
        <v>0</v>
      </c>
      <c r="CY214">
        <f>S214*(BZ214/100)</f>
        <v>0</v>
      </c>
      <c r="CZ214">
        <f>S214*(CA214/100)</f>
        <v>0</v>
      </c>
      <c r="DC214" t="s">
        <v>6</v>
      </c>
      <c r="DD214" t="s">
        <v>6</v>
      </c>
      <c r="DE214" t="s">
        <v>6</v>
      </c>
      <c r="DF214" t="s">
        <v>6</v>
      </c>
      <c r="DG214" t="s">
        <v>6</v>
      </c>
      <c r="DH214" t="s">
        <v>6</v>
      </c>
      <c r="DI214" t="s">
        <v>6</v>
      </c>
      <c r="DJ214" t="s">
        <v>6</v>
      </c>
      <c r="DK214" t="s">
        <v>6</v>
      </c>
      <c r="DL214" t="s">
        <v>6</v>
      </c>
      <c r="DM214" t="s">
        <v>6</v>
      </c>
      <c r="DN214">
        <v>91</v>
      </c>
      <c r="DO214">
        <v>70</v>
      </c>
      <c r="DP214">
        <v>1.0469999999999999</v>
      </c>
      <c r="DQ214">
        <v>1.002</v>
      </c>
      <c r="DU214">
        <v>1013</v>
      </c>
      <c r="DV214" t="s">
        <v>141</v>
      </c>
      <c r="DW214" t="s">
        <v>141</v>
      </c>
      <c r="DX214">
        <v>1</v>
      </c>
      <c r="DZ214" t="s">
        <v>6</v>
      </c>
      <c r="EA214" t="s">
        <v>6</v>
      </c>
      <c r="EB214" t="s">
        <v>6</v>
      </c>
      <c r="EC214" t="s">
        <v>6</v>
      </c>
      <c r="EE214">
        <v>69253283</v>
      </c>
      <c r="EF214">
        <v>60</v>
      </c>
      <c r="EG214" t="s">
        <v>127</v>
      </c>
      <c r="EH214">
        <v>0</v>
      </c>
      <c r="EI214" t="s">
        <v>6</v>
      </c>
      <c r="EJ214">
        <v>1</v>
      </c>
      <c r="EK214">
        <v>658</v>
      </c>
      <c r="EL214" t="s">
        <v>143</v>
      </c>
      <c r="EM214" t="s">
        <v>144</v>
      </c>
      <c r="EO214" t="s">
        <v>6</v>
      </c>
      <c r="EQ214">
        <v>1024</v>
      </c>
      <c r="ER214">
        <v>8.86</v>
      </c>
      <c r="ES214">
        <v>0</v>
      </c>
      <c r="ET214">
        <v>8.86</v>
      </c>
      <c r="EU214">
        <v>1.48</v>
      </c>
      <c r="EV214">
        <v>0</v>
      </c>
      <c r="EW214">
        <v>0</v>
      </c>
      <c r="EX214">
        <v>0</v>
      </c>
      <c r="EY214">
        <v>0</v>
      </c>
      <c r="FQ214">
        <v>0</v>
      </c>
      <c r="FR214">
        <f t="shared" si="315"/>
        <v>0</v>
      </c>
      <c r="FS214">
        <v>0</v>
      </c>
      <c r="FX214">
        <v>91</v>
      </c>
      <c r="FY214">
        <v>70</v>
      </c>
      <c r="GA214" t="s">
        <v>6</v>
      </c>
      <c r="GD214">
        <v>0</v>
      </c>
      <c r="GF214">
        <v>485395444</v>
      </c>
      <c r="GG214">
        <v>2</v>
      </c>
      <c r="GH214">
        <v>1</v>
      </c>
      <c r="GI214">
        <v>2</v>
      </c>
      <c r="GJ214">
        <v>0</v>
      </c>
      <c r="GK214">
        <f>ROUND(R214*(S12)/100,2)</f>
        <v>187.42</v>
      </c>
      <c r="GL214">
        <f t="shared" si="316"/>
        <v>0</v>
      </c>
      <c r="GM214">
        <f t="shared" si="317"/>
        <v>430</v>
      </c>
      <c r="GN214">
        <f t="shared" si="318"/>
        <v>430</v>
      </c>
      <c r="GO214">
        <f t="shared" si="319"/>
        <v>0</v>
      </c>
      <c r="GP214">
        <f t="shared" si="320"/>
        <v>0</v>
      </c>
      <c r="GR214">
        <v>0</v>
      </c>
      <c r="GS214">
        <v>0</v>
      </c>
      <c r="GT214">
        <v>0</v>
      </c>
      <c r="GU214" t="s">
        <v>6</v>
      </c>
      <c r="GV214">
        <f t="shared" si="321"/>
        <v>0</v>
      </c>
      <c r="GW214">
        <v>1</v>
      </c>
      <c r="GX214">
        <f t="shared" si="322"/>
        <v>0</v>
      </c>
      <c r="HA214">
        <v>0</v>
      </c>
      <c r="HB214">
        <v>0</v>
      </c>
      <c r="HC214">
        <f t="shared" si="323"/>
        <v>0</v>
      </c>
      <c r="HE214" t="s">
        <v>6</v>
      </c>
      <c r="HF214" t="s">
        <v>6</v>
      </c>
      <c r="HM214" t="s">
        <v>6</v>
      </c>
      <c r="HN214" t="s">
        <v>6</v>
      </c>
      <c r="HO214" t="s">
        <v>6</v>
      </c>
      <c r="HP214" t="s">
        <v>6</v>
      </c>
      <c r="HQ214" t="s">
        <v>6</v>
      </c>
      <c r="IK214">
        <v>0</v>
      </c>
    </row>
    <row r="215" spans="1:255">
      <c r="A215" s="2">
        <v>17</v>
      </c>
      <c r="B215" s="2">
        <v>1</v>
      </c>
      <c r="C215" s="2"/>
      <c r="D215" s="2"/>
      <c r="E215" s="2" t="s">
        <v>6</v>
      </c>
      <c r="F215" s="2" t="s">
        <v>273</v>
      </c>
      <c r="G215" s="2" t="s">
        <v>274</v>
      </c>
      <c r="H215" s="2" t="s">
        <v>275</v>
      </c>
      <c r="I215" s="2">
        <f>ROUND((18)/100,9)</f>
        <v>0.18</v>
      </c>
      <c r="J215" s="2">
        <v>0</v>
      </c>
      <c r="K215" s="2">
        <f>ROUND((18)/100,9)</f>
        <v>0.18</v>
      </c>
      <c r="L215" s="2"/>
      <c r="M215" s="2"/>
      <c r="N215" s="2"/>
      <c r="O215" s="2">
        <f t="shared" si="286"/>
        <v>738.71</v>
      </c>
      <c r="P215" s="2">
        <f t="shared" si="287"/>
        <v>573.54</v>
      </c>
      <c r="Q215" s="2">
        <f t="shared" si="288"/>
        <v>20.6</v>
      </c>
      <c r="R215" s="2">
        <f t="shared" si="289"/>
        <v>1.95</v>
      </c>
      <c r="S215" s="2">
        <f t="shared" si="290"/>
        <v>144.57</v>
      </c>
      <c r="T215" s="2">
        <f t="shared" si="291"/>
        <v>0</v>
      </c>
      <c r="U215" s="2">
        <f t="shared" si="292"/>
        <v>13.154507999999998</v>
      </c>
      <c r="V215" s="2">
        <f t="shared" si="293"/>
        <v>0</v>
      </c>
      <c r="W215" s="2">
        <f t="shared" si="294"/>
        <v>0</v>
      </c>
      <c r="X215" s="2">
        <f t="shared" si="295"/>
        <v>232.76</v>
      </c>
      <c r="Y215" s="2">
        <f t="shared" si="296"/>
        <v>154.69</v>
      </c>
      <c r="Z215" s="2"/>
      <c r="AA215" s="2">
        <v>-1</v>
      </c>
      <c r="AB215" s="2">
        <f t="shared" si="297"/>
        <v>3969.91</v>
      </c>
      <c r="AC215" s="2">
        <f t="shared" si="298"/>
        <v>3093.52</v>
      </c>
      <c r="AD215" s="2">
        <f t="shared" si="299"/>
        <v>109.29</v>
      </c>
      <c r="AE215" s="2">
        <f t="shared" si="300"/>
        <v>10.33</v>
      </c>
      <c r="AF215" s="2">
        <f t="shared" si="301"/>
        <v>767.1</v>
      </c>
      <c r="AG215" s="2">
        <f t="shared" si="302"/>
        <v>0</v>
      </c>
      <c r="AH215" s="2">
        <f t="shared" si="303"/>
        <v>69.8</v>
      </c>
      <c r="AI215" s="2">
        <f t="shared" si="304"/>
        <v>0</v>
      </c>
      <c r="AJ215" s="2">
        <f t="shared" si="305"/>
        <v>0</v>
      </c>
      <c r="AK215" s="2">
        <v>3969.91</v>
      </c>
      <c r="AL215" s="2">
        <v>3093.52</v>
      </c>
      <c r="AM215" s="2">
        <v>109.29</v>
      </c>
      <c r="AN215" s="2">
        <v>10.33</v>
      </c>
      <c r="AO215" s="2">
        <v>767.1</v>
      </c>
      <c r="AP215" s="2">
        <v>0</v>
      </c>
      <c r="AQ215" s="2">
        <v>69.8</v>
      </c>
      <c r="AR215" s="2">
        <v>0</v>
      </c>
      <c r="AS215" s="2">
        <v>0</v>
      </c>
      <c r="AT215" s="2">
        <v>161</v>
      </c>
      <c r="AU215" s="2">
        <v>107</v>
      </c>
      <c r="AV215" s="2">
        <v>1.0469999999999999</v>
      </c>
      <c r="AW215" s="2">
        <v>1.03</v>
      </c>
      <c r="AX215" s="2"/>
      <c r="AY215" s="2"/>
      <c r="AZ215" s="2">
        <v>1</v>
      </c>
      <c r="BA215" s="2">
        <v>1</v>
      </c>
      <c r="BB215" s="2">
        <v>1</v>
      </c>
      <c r="BC215" s="2">
        <v>1</v>
      </c>
      <c r="BD215" s="2" t="s">
        <v>6</v>
      </c>
      <c r="BE215" s="2" t="s">
        <v>6</v>
      </c>
      <c r="BF215" s="2" t="s">
        <v>6</v>
      </c>
      <c r="BG215" s="2" t="s">
        <v>6</v>
      </c>
      <c r="BH215" s="2">
        <v>0</v>
      </c>
      <c r="BI215" s="2">
        <v>1</v>
      </c>
      <c r="BJ215" s="2" t="s">
        <v>276</v>
      </c>
      <c r="BK215" s="2"/>
      <c r="BL215" s="2"/>
      <c r="BM215" s="2">
        <v>148</v>
      </c>
      <c r="BN215" s="2">
        <v>0</v>
      </c>
      <c r="BO215" s="2" t="s">
        <v>6</v>
      </c>
      <c r="BP215" s="2">
        <v>0</v>
      </c>
      <c r="BQ215" s="2">
        <v>30</v>
      </c>
      <c r="BR215" s="2">
        <v>0</v>
      </c>
      <c r="BS215" s="2">
        <v>1</v>
      </c>
      <c r="BT215" s="2">
        <v>1</v>
      </c>
      <c r="BU215" s="2">
        <v>1</v>
      </c>
      <c r="BV215" s="2">
        <v>1</v>
      </c>
      <c r="BW215" s="2">
        <v>1</v>
      </c>
      <c r="BX215" s="2">
        <v>1</v>
      </c>
      <c r="BY215" s="2" t="s">
        <v>6</v>
      </c>
      <c r="BZ215" s="2">
        <v>161</v>
      </c>
      <c r="CA215" s="2">
        <v>107</v>
      </c>
      <c r="CB215" s="2" t="s">
        <v>6</v>
      </c>
      <c r="CC215" s="2"/>
      <c r="CD215" s="2"/>
      <c r="CE215" s="2">
        <v>30</v>
      </c>
      <c r="CF215" s="2">
        <v>0</v>
      </c>
      <c r="CG215" s="2">
        <v>0</v>
      </c>
      <c r="CH215" s="2"/>
      <c r="CI215" s="2"/>
      <c r="CJ215" s="2"/>
      <c r="CK215" s="2"/>
      <c r="CL215" s="2"/>
      <c r="CM215" s="2">
        <v>0</v>
      </c>
      <c r="CN215" s="2" t="s">
        <v>6</v>
      </c>
      <c r="CO215" s="2">
        <v>0</v>
      </c>
      <c r="CP215" s="2">
        <f t="shared" si="306"/>
        <v>738.71</v>
      </c>
      <c r="CQ215" s="2">
        <f t="shared" si="307"/>
        <v>3186.33</v>
      </c>
      <c r="CR215" s="2">
        <f t="shared" si="308"/>
        <v>114.43</v>
      </c>
      <c r="CS215" s="2">
        <f t="shared" si="309"/>
        <v>10.82</v>
      </c>
      <c r="CT215" s="2">
        <f t="shared" si="310"/>
        <v>803.15</v>
      </c>
      <c r="CU215" s="2">
        <f t="shared" si="311"/>
        <v>0</v>
      </c>
      <c r="CV215" s="2">
        <f t="shared" si="312"/>
        <v>73.08059999999999</v>
      </c>
      <c r="CW215" s="2">
        <f t="shared" si="313"/>
        <v>0</v>
      </c>
      <c r="CX215" s="2">
        <f t="shared" si="314"/>
        <v>0</v>
      </c>
      <c r="CY215" s="2">
        <f>((S215*BZ215)/100)</f>
        <v>232.7577</v>
      </c>
      <c r="CZ215" s="2">
        <f>((S215*CA215)/100)</f>
        <v>154.68989999999999</v>
      </c>
      <c r="DA215" s="2"/>
      <c r="DB215" s="2"/>
      <c r="DC215" s="2" t="s">
        <v>6</v>
      </c>
      <c r="DD215" s="2" t="s">
        <v>6</v>
      </c>
      <c r="DE215" s="2" t="s">
        <v>6</v>
      </c>
      <c r="DF215" s="2" t="s">
        <v>6</v>
      </c>
      <c r="DG215" s="2" t="s">
        <v>6</v>
      </c>
      <c r="DH215" s="2" t="s">
        <v>6</v>
      </c>
      <c r="DI215" s="2" t="s">
        <v>6</v>
      </c>
      <c r="DJ215" s="2" t="s">
        <v>6</v>
      </c>
      <c r="DK215" s="2" t="s">
        <v>6</v>
      </c>
      <c r="DL215" s="2" t="s">
        <v>6</v>
      </c>
      <c r="DM215" s="2" t="s">
        <v>6</v>
      </c>
      <c r="DN215" s="2">
        <v>0</v>
      </c>
      <c r="DO215" s="2">
        <v>0</v>
      </c>
      <c r="DP215" s="2">
        <v>1</v>
      </c>
      <c r="DQ215" s="2">
        <v>1</v>
      </c>
      <c r="DR215" s="2"/>
      <c r="DS215" s="2"/>
      <c r="DT215" s="2"/>
      <c r="DU215" s="2">
        <v>1013</v>
      </c>
      <c r="DV215" s="2" t="s">
        <v>275</v>
      </c>
      <c r="DW215" s="2" t="s">
        <v>275</v>
      </c>
      <c r="DX215" s="2">
        <v>1</v>
      </c>
      <c r="DY215" s="2"/>
      <c r="DZ215" s="2" t="s">
        <v>6</v>
      </c>
      <c r="EA215" s="2" t="s">
        <v>6</v>
      </c>
      <c r="EB215" s="2" t="s">
        <v>6</v>
      </c>
      <c r="EC215" s="2" t="s">
        <v>6</v>
      </c>
      <c r="ED215" s="2"/>
      <c r="EE215" s="2">
        <v>69252773</v>
      </c>
      <c r="EF215" s="2">
        <v>30</v>
      </c>
      <c r="EG215" s="2" t="s">
        <v>29</v>
      </c>
      <c r="EH215" s="2">
        <v>0</v>
      </c>
      <c r="EI215" s="2" t="s">
        <v>6</v>
      </c>
      <c r="EJ215" s="2">
        <v>1</v>
      </c>
      <c r="EK215" s="2">
        <v>148</v>
      </c>
      <c r="EL215" s="2" t="s">
        <v>277</v>
      </c>
      <c r="EM215" s="2" t="s">
        <v>278</v>
      </c>
      <c r="EN215" s="2"/>
      <c r="EO215" s="2" t="s">
        <v>6</v>
      </c>
      <c r="EP215" s="2"/>
      <c r="EQ215" s="2">
        <v>1024</v>
      </c>
      <c r="ER215" s="2">
        <v>3969.91</v>
      </c>
      <c r="ES215" s="2">
        <v>3093.52</v>
      </c>
      <c r="ET215" s="2">
        <v>109.29</v>
      </c>
      <c r="EU215" s="2">
        <v>10.33</v>
      </c>
      <c r="EV215" s="2">
        <v>767.1</v>
      </c>
      <c r="EW215" s="2">
        <v>69.8</v>
      </c>
      <c r="EX215" s="2">
        <v>0</v>
      </c>
      <c r="EY215" s="2">
        <v>0</v>
      </c>
      <c r="EZ215" s="2"/>
      <c r="FA215" s="2"/>
      <c r="FB215" s="2"/>
      <c r="FC215" s="2"/>
      <c r="FD215" s="2"/>
      <c r="FE215" s="2"/>
      <c r="FF215" s="2"/>
      <c r="FG215" s="2"/>
      <c r="FH215" s="2"/>
      <c r="FI215" s="2"/>
      <c r="FJ215" s="2"/>
      <c r="FK215" s="2"/>
      <c r="FL215" s="2"/>
      <c r="FM215" s="2"/>
      <c r="FN215" s="2"/>
      <c r="FO215" s="2"/>
      <c r="FP215" s="2"/>
      <c r="FQ215" s="2">
        <v>0</v>
      </c>
      <c r="FR215" s="2">
        <f t="shared" si="315"/>
        <v>0</v>
      </c>
      <c r="FS215" s="2">
        <v>0</v>
      </c>
      <c r="FT215" s="2"/>
      <c r="FU215" s="2"/>
      <c r="FV215" s="2"/>
      <c r="FW215" s="2"/>
      <c r="FX215" s="2">
        <v>161</v>
      </c>
      <c r="FY215" s="2">
        <v>107</v>
      </c>
      <c r="FZ215" s="2"/>
      <c r="GA215" s="2" t="s">
        <v>6</v>
      </c>
      <c r="GB215" s="2"/>
      <c r="GC215" s="2"/>
      <c r="GD215" s="2">
        <v>0</v>
      </c>
      <c r="GE215" s="2"/>
      <c r="GF215" s="2">
        <v>-529826015</v>
      </c>
      <c r="GG215" s="2">
        <v>2</v>
      </c>
      <c r="GH215" s="2">
        <v>1</v>
      </c>
      <c r="GI215" s="2">
        <v>-2</v>
      </c>
      <c r="GJ215" s="2">
        <v>0</v>
      </c>
      <c r="GK215" s="2">
        <f>ROUND(R215*(R12)/100,2)</f>
        <v>3.41</v>
      </c>
      <c r="GL215" s="2">
        <f t="shared" si="316"/>
        <v>0</v>
      </c>
      <c r="GM215" s="2">
        <f t="shared" si="317"/>
        <v>1129.57</v>
      </c>
      <c r="GN215" s="2">
        <f t="shared" si="318"/>
        <v>1129.57</v>
      </c>
      <c r="GO215" s="2">
        <f t="shared" si="319"/>
        <v>0</v>
      </c>
      <c r="GP215" s="2">
        <f t="shared" si="320"/>
        <v>0</v>
      </c>
      <c r="GQ215" s="2"/>
      <c r="GR215" s="2">
        <v>0</v>
      </c>
      <c r="GS215" s="2">
        <v>3</v>
      </c>
      <c r="GT215" s="2">
        <v>0</v>
      </c>
      <c r="GU215" s="2" t="s">
        <v>6</v>
      </c>
      <c r="GV215" s="2">
        <f t="shared" si="321"/>
        <v>0</v>
      </c>
      <c r="GW215" s="2">
        <v>1</v>
      </c>
      <c r="GX215" s="2">
        <f t="shared" si="322"/>
        <v>0</v>
      </c>
      <c r="GY215" s="2"/>
      <c r="GZ215" s="2"/>
      <c r="HA215" s="2">
        <v>0</v>
      </c>
      <c r="HB215" s="2">
        <v>0</v>
      </c>
      <c r="HC215" s="2">
        <f t="shared" si="323"/>
        <v>0</v>
      </c>
      <c r="HD215" s="2"/>
      <c r="HE215" s="2" t="s">
        <v>6</v>
      </c>
      <c r="HF215" s="2" t="s">
        <v>6</v>
      </c>
      <c r="HG215" s="2"/>
      <c r="HH215" s="2"/>
      <c r="HI215" s="2"/>
      <c r="HJ215" s="2"/>
      <c r="HK215" s="2"/>
      <c r="HL215" s="2"/>
      <c r="HM215" s="2" t="s">
        <v>6</v>
      </c>
      <c r="HN215" s="2" t="s">
        <v>6</v>
      </c>
      <c r="HO215" s="2" t="s">
        <v>6</v>
      </c>
      <c r="HP215" s="2" t="s">
        <v>6</v>
      </c>
      <c r="HQ215" s="2" t="s">
        <v>6</v>
      </c>
      <c r="HR215" s="2"/>
      <c r="HS215" s="2"/>
      <c r="HT215" s="2"/>
      <c r="HU215" s="2"/>
      <c r="HV215" s="2"/>
      <c r="HW215" s="2"/>
      <c r="HX215" s="2"/>
      <c r="HY215" s="2"/>
      <c r="HZ215" s="2"/>
      <c r="IA215" s="2"/>
      <c r="IB215" s="2"/>
      <c r="IC215" s="2"/>
      <c r="ID215" s="2"/>
      <c r="IE215" s="2"/>
      <c r="IF215" s="2"/>
      <c r="IG215" s="2"/>
      <c r="IH215" s="2"/>
      <c r="II215" s="2"/>
      <c r="IJ215" s="2"/>
      <c r="IK215" s="2">
        <v>0</v>
      </c>
      <c r="IL215" s="2"/>
      <c r="IM215" s="2"/>
      <c r="IN215" s="2"/>
      <c r="IO215" s="2"/>
      <c r="IP215" s="2"/>
      <c r="IQ215" s="2"/>
      <c r="IR215" s="2"/>
      <c r="IS215" s="2"/>
      <c r="IT215" s="2"/>
      <c r="IU215" s="2"/>
    </row>
    <row r="216" spans="1:255">
      <c r="A216">
        <v>17</v>
      </c>
      <c r="B216">
        <v>1</v>
      </c>
      <c r="E216" t="s">
        <v>6</v>
      </c>
      <c r="F216" t="s">
        <v>273</v>
      </c>
      <c r="G216" t="s">
        <v>274</v>
      </c>
      <c r="H216" t="s">
        <v>275</v>
      </c>
      <c r="I216">
        <f>ROUND((18)/100,9)</f>
        <v>0.18</v>
      </c>
      <c r="J216">
        <v>0</v>
      </c>
      <c r="K216">
        <f>ROUND((18)/100,9)</f>
        <v>0.18</v>
      </c>
      <c r="O216">
        <f t="shared" si="286"/>
        <v>9881.5499999999993</v>
      </c>
      <c r="P216">
        <f t="shared" si="287"/>
        <v>2867.7</v>
      </c>
      <c r="Q216">
        <f t="shared" si="288"/>
        <v>266.77</v>
      </c>
      <c r="R216">
        <f t="shared" si="289"/>
        <v>91.01</v>
      </c>
      <c r="S216">
        <f t="shared" si="290"/>
        <v>6747.08</v>
      </c>
      <c r="T216">
        <f t="shared" si="291"/>
        <v>0</v>
      </c>
      <c r="U216">
        <f t="shared" si="292"/>
        <v>13.154507999999998</v>
      </c>
      <c r="V216">
        <f t="shared" si="293"/>
        <v>0</v>
      </c>
      <c r="W216">
        <f t="shared" si="294"/>
        <v>0</v>
      </c>
      <c r="X216">
        <f t="shared" si="295"/>
        <v>9041.09</v>
      </c>
      <c r="Y216">
        <f t="shared" si="296"/>
        <v>3710.89</v>
      </c>
      <c r="AA216">
        <v>-1</v>
      </c>
      <c r="AB216">
        <f t="shared" si="297"/>
        <v>3969.91</v>
      </c>
      <c r="AC216">
        <f t="shared" si="298"/>
        <v>3093.52</v>
      </c>
      <c r="AD216">
        <f t="shared" si="299"/>
        <v>109.29</v>
      </c>
      <c r="AE216">
        <f t="shared" si="300"/>
        <v>10.33</v>
      </c>
      <c r="AF216">
        <f t="shared" si="301"/>
        <v>767.1</v>
      </c>
      <c r="AG216">
        <f t="shared" si="302"/>
        <v>0</v>
      </c>
      <c r="AH216">
        <f t="shared" si="303"/>
        <v>69.8</v>
      </c>
      <c r="AI216">
        <f t="shared" si="304"/>
        <v>0</v>
      </c>
      <c r="AJ216">
        <f t="shared" si="305"/>
        <v>0</v>
      </c>
      <c r="AK216">
        <v>3969.91</v>
      </c>
      <c r="AL216">
        <v>3093.52</v>
      </c>
      <c r="AM216">
        <v>109.29</v>
      </c>
      <c r="AN216">
        <v>10.33</v>
      </c>
      <c r="AO216">
        <v>767.1</v>
      </c>
      <c r="AP216">
        <v>0</v>
      </c>
      <c r="AQ216">
        <v>69.8</v>
      </c>
      <c r="AR216">
        <v>0</v>
      </c>
      <c r="AS216">
        <v>0</v>
      </c>
      <c r="AT216">
        <v>134</v>
      </c>
      <c r="AU216">
        <v>55</v>
      </c>
      <c r="AV216">
        <v>1.0469999999999999</v>
      </c>
      <c r="AW216">
        <v>1.03</v>
      </c>
      <c r="AZ216">
        <v>1</v>
      </c>
      <c r="BA216">
        <v>46.67</v>
      </c>
      <c r="BB216">
        <v>12.95</v>
      </c>
      <c r="BC216">
        <v>5</v>
      </c>
      <c r="BD216" t="s">
        <v>6</v>
      </c>
      <c r="BE216" t="s">
        <v>6</v>
      </c>
      <c r="BF216" t="s">
        <v>6</v>
      </c>
      <c r="BG216" t="s">
        <v>6</v>
      </c>
      <c r="BH216">
        <v>0</v>
      </c>
      <c r="BI216">
        <v>1</v>
      </c>
      <c r="BJ216" t="s">
        <v>276</v>
      </c>
      <c r="BM216">
        <v>148</v>
      </c>
      <c r="BN216">
        <v>0</v>
      </c>
      <c r="BO216" t="s">
        <v>273</v>
      </c>
      <c r="BP216">
        <v>1</v>
      </c>
      <c r="BQ216">
        <v>30</v>
      </c>
      <c r="BR216">
        <v>0</v>
      </c>
      <c r="BS216">
        <v>46.67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6</v>
      </c>
      <c r="BZ216">
        <v>134</v>
      </c>
      <c r="CA216">
        <v>55</v>
      </c>
      <c r="CB216" t="s">
        <v>6</v>
      </c>
      <c r="CE216">
        <v>30</v>
      </c>
      <c r="CF216">
        <v>0</v>
      </c>
      <c r="CG216">
        <v>0</v>
      </c>
      <c r="CM216">
        <v>0</v>
      </c>
      <c r="CN216" t="s">
        <v>6</v>
      </c>
      <c r="CO216">
        <v>0</v>
      </c>
      <c r="CP216">
        <f t="shared" si="306"/>
        <v>9881.5499999999993</v>
      </c>
      <c r="CQ216">
        <f t="shared" si="307"/>
        <v>15931.65</v>
      </c>
      <c r="CR216">
        <f t="shared" si="308"/>
        <v>1481.87</v>
      </c>
      <c r="CS216">
        <f t="shared" si="309"/>
        <v>504.97</v>
      </c>
      <c r="CT216">
        <f t="shared" si="310"/>
        <v>37483.01</v>
      </c>
      <c r="CU216">
        <f t="shared" si="311"/>
        <v>0</v>
      </c>
      <c r="CV216">
        <f t="shared" si="312"/>
        <v>73.08059999999999</v>
      </c>
      <c r="CW216">
        <f t="shared" si="313"/>
        <v>0</v>
      </c>
      <c r="CX216">
        <f t="shared" si="314"/>
        <v>0</v>
      </c>
      <c r="CY216">
        <f>S216*(BZ216/100)</f>
        <v>9041.0871999999999</v>
      </c>
      <c r="CZ216">
        <f>S216*(CA216/100)</f>
        <v>3710.8940000000002</v>
      </c>
      <c r="DC216" t="s">
        <v>6</v>
      </c>
      <c r="DD216" t="s">
        <v>6</v>
      </c>
      <c r="DE216" t="s">
        <v>6</v>
      </c>
      <c r="DF216" t="s">
        <v>6</v>
      </c>
      <c r="DG216" t="s">
        <v>6</v>
      </c>
      <c r="DH216" t="s">
        <v>6</v>
      </c>
      <c r="DI216" t="s">
        <v>6</v>
      </c>
      <c r="DJ216" t="s">
        <v>6</v>
      </c>
      <c r="DK216" t="s">
        <v>6</v>
      </c>
      <c r="DL216" t="s">
        <v>6</v>
      </c>
      <c r="DM216" t="s">
        <v>6</v>
      </c>
      <c r="DN216">
        <v>161</v>
      </c>
      <c r="DO216">
        <v>107</v>
      </c>
      <c r="DP216">
        <v>1.0469999999999999</v>
      </c>
      <c r="DQ216">
        <v>1.03</v>
      </c>
      <c r="DU216">
        <v>1013</v>
      </c>
      <c r="DV216" t="s">
        <v>275</v>
      </c>
      <c r="DW216" t="s">
        <v>275</v>
      </c>
      <c r="DX216">
        <v>1</v>
      </c>
      <c r="DZ216" t="s">
        <v>6</v>
      </c>
      <c r="EA216" t="s">
        <v>6</v>
      </c>
      <c r="EB216" t="s">
        <v>6</v>
      </c>
      <c r="EC216" t="s">
        <v>6</v>
      </c>
      <c r="EE216">
        <v>69252773</v>
      </c>
      <c r="EF216">
        <v>30</v>
      </c>
      <c r="EG216" t="s">
        <v>29</v>
      </c>
      <c r="EH216">
        <v>0</v>
      </c>
      <c r="EI216" t="s">
        <v>6</v>
      </c>
      <c r="EJ216">
        <v>1</v>
      </c>
      <c r="EK216">
        <v>148</v>
      </c>
      <c r="EL216" t="s">
        <v>277</v>
      </c>
      <c r="EM216" t="s">
        <v>278</v>
      </c>
      <c r="EO216" t="s">
        <v>6</v>
      </c>
      <c r="EQ216">
        <v>1024</v>
      </c>
      <c r="ER216">
        <v>3969.91</v>
      </c>
      <c r="ES216">
        <v>3093.52</v>
      </c>
      <c r="ET216">
        <v>109.29</v>
      </c>
      <c r="EU216">
        <v>10.33</v>
      </c>
      <c r="EV216">
        <v>767.1</v>
      </c>
      <c r="EW216">
        <v>69.8</v>
      </c>
      <c r="EX216">
        <v>0</v>
      </c>
      <c r="EY216">
        <v>0</v>
      </c>
      <c r="FQ216">
        <v>0</v>
      </c>
      <c r="FR216">
        <f t="shared" si="315"/>
        <v>0</v>
      </c>
      <c r="FS216">
        <v>0</v>
      </c>
      <c r="FX216">
        <v>161</v>
      </c>
      <c r="FY216">
        <v>107</v>
      </c>
      <c r="GA216" t="s">
        <v>6</v>
      </c>
      <c r="GD216">
        <v>0</v>
      </c>
      <c r="GF216">
        <v>-529826015</v>
      </c>
      <c r="GG216">
        <v>2</v>
      </c>
      <c r="GH216">
        <v>1</v>
      </c>
      <c r="GI216">
        <v>2</v>
      </c>
      <c r="GJ216">
        <v>0</v>
      </c>
      <c r="GK216">
        <f>ROUND(R216*(S12)/100,2)</f>
        <v>145.62</v>
      </c>
      <c r="GL216">
        <f t="shared" si="316"/>
        <v>0</v>
      </c>
      <c r="GM216">
        <f t="shared" si="317"/>
        <v>22779.15</v>
      </c>
      <c r="GN216">
        <f t="shared" si="318"/>
        <v>22779.15</v>
      </c>
      <c r="GO216">
        <f t="shared" si="319"/>
        <v>0</v>
      </c>
      <c r="GP216">
        <f t="shared" si="320"/>
        <v>0</v>
      </c>
      <c r="GR216">
        <v>0</v>
      </c>
      <c r="GS216">
        <v>0</v>
      </c>
      <c r="GT216">
        <v>0</v>
      </c>
      <c r="GU216" t="s">
        <v>6</v>
      </c>
      <c r="GV216">
        <f t="shared" si="321"/>
        <v>0</v>
      </c>
      <c r="GW216">
        <v>1</v>
      </c>
      <c r="GX216">
        <f t="shared" si="322"/>
        <v>0</v>
      </c>
      <c r="HA216">
        <v>0</v>
      </c>
      <c r="HB216">
        <v>0</v>
      </c>
      <c r="HC216">
        <f t="shared" si="323"/>
        <v>0</v>
      </c>
      <c r="HE216" t="s">
        <v>6</v>
      </c>
      <c r="HF216" t="s">
        <v>6</v>
      </c>
      <c r="HM216" t="s">
        <v>6</v>
      </c>
      <c r="HN216" t="s">
        <v>6</v>
      </c>
      <c r="HO216" t="s">
        <v>6</v>
      </c>
      <c r="HP216" t="s">
        <v>6</v>
      </c>
      <c r="HQ216" t="s">
        <v>6</v>
      </c>
      <c r="IK216">
        <v>0</v>
      </c>
    </row>
    <row r="217" spans="1:255">
      <c r="A217" s="2">
        <v>18</v>
      </c>
      <c r="B217" s="2">
        <v>1</v>
      </c>
      <c r="C217" s="2"/>
      <c r="D217" s="2"/>
      <c r="E217" s="2" t="s">
        <v>6</v>
      </c>
      <c r="F217" s="2" t="s">
        <v>198</v>
      </c>
      <c r="G217" s="2" t="s">
        <v>199</v>
      </c>
      <c r="H217" s="2" t="s">
        <v>35</v>
      </c>
      <c r="I217" s="2">
        <f>I215*J217</f>
        <v>0.70199999999999996</v>
      </c>
      <c r="J217" s="2">
        <v>3.9</v>
      </c>
      <c r="K217" s="2">
        <v>3.9</v>
      </c>
      <c r="L217" s="2"/>
      <c r="M217" s="2"/>
      <c r="N217" s="2"/>
      <c r="O217" s="2">
        <f t="shared" si="286"/>
        <v>373.92</v>
      </c>
      <c r="P217" s="2">
        <f t="shared" si="287"/>
        <v>373.92</v>
      </c>
      <c r="Q217" s="2">
        <f t="shared" si="288"/>
        <v>0</v>
      </c>
      <c r="R217" s="2">
        <f t="shared" si="289"/>
        <v>0</v>
      </c>
      <c r="S217" s="2">
        <f t="shared" si="290"/>
        <v>0</v>
      </c>
      <c r="T217" s="2">
        <f t="shared" si="291"/>
        <v>0</v>
      </c>
      <c r="U217" s="2">
        <f t="shared" si="292"/>
        <v>0</v>
      </c>
      <c r="V217" s="2">
        <f t="shared" si="293"/>
        <v>0</v>
      </c>
      <c r="W217" s="2">
        <f t="shared" si="294"/>
        <v>0</v>
      </c>
      <c r="X217" s="2">
        <f t="shared" si="295"/>
        <v>0</v>
      </c>
      <c r="Y217" s="2">
        <f t="shared" si="296"/>
        <v>0</v>
      </c>
      <c r="Z217" s="2"/>
      <c r="AA217" s="2">
        <v>-1</v>
      </c>
      <c r="AB217" s="2">
        <f t="shared" si="297"/>
        <v>517.14</v>
      </c>
      <c r="AC217" s="2">
        <f t="shared" si="298"/>
        <v>517.14</v>
      </c>
      <c r="AD217" s="2">
        <f t="shared" si="299"/>
        <v>0</v>
      </c>
      <c r="AE217" s="2">
        <f t="shared" si="300"/>
        <v>0</v>
      </c>
      <c r="AF217" s="2">
        <f t="shared" si="301"/>
        <v>0</v>
      </c>
      <c r="AG217" s="2">
        <f t="shared" si="302"/>
        <v>0</v>
      </c>
      <c r="AH217" s="2">
        <f t="shared" si="303"/>
        <v>0</v>
      </c>
      <c r="AI217" s="2">
        <f t="shared" si="304"/>
        <v>0</v>
      </c>
      <c r="AJ217" s="2">
        <f t="shared" si="305"/>
        <v>0</v>
      </c>
      <c r="AK217" s="2">
        <v>517.14</v>
      </c>
      <c r="AL217" s="2">
        <v>517.14</v>
      </c>
      <c r="AM217" s="2">
        <v>0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161</v>
      </c>
      <c r="AU217" s="2">
        <v>107</v>
      </c>
      <c r="AV217" s="2">
        <v>1.0469999999999999</v>
      </c>
      <c r="AW217" s="2">
        <v>1.03</v>
      </c>
      <c r="AX217" s="2"/>
      <c r="AY217" s="2"/>
      <c r="AZ217" s="2">
        <v>1</v>
      </c>
      <c r="BA217" s="2">
        <v>1</v>
      </c>
      <c r="BB217" s="2">
        <v>1</v>
      </c>
      <c r="BC217" s="2">
        <v>1</v>
      </c>
      <c r="BD217" s="2" t="s">
        <v>6</v>
      </c>
      <c r="BE217" s="2" t="s">
        <v>6</v>
      </c>
      <c r="BF217" s="2" t="s">
        <v>6</v>
      </c>
      <c r="BG217" s="2" t="s">
        <v>6</v>
      </c>
      <c r="BH217" s="2">
        <v>3</v>
      </c>
      <c r="BI217" s="2">
        <v>1</v>
      </c>
      <c r="BJ217" s="2" t="s">
        <v>200</v>
      </c>
      <c r="BK217" s="2"/>
      <c r="BL217" s="2"/>
      <c r="BM217" s="2">
        <v>148</v>
      </c>
      <c r="BN217" s="2">
        <v>0</v>
      </c>
      <c r="BO217" s="2" t="s">
        <v>6</v>
      </c>
      <c r="BP217" s="2">
        <v>0</v>
      </c>
      <c r="BQ217" s="2">
        <v>30</v>
      </c>
      <c r="BR217" s="2">
        <v>0</v>
      </c>
      <c r="BS217" s="2">
        <v>1</v>
      </c>
      <c r="BT217" s="2">
        <v>1</v>
      </c>
      <c r="BU217" s="2">
        <v>1</v>
      </c>
      <c r="BV217" s="2">
        <v>1</v>
      </c>
      <c r="BW217" s="2">
        <v>1</v>
      </c>
      <c r="BX217" s="2">
        <v>1</v>
      </c>
      <c r="BY217" s="2" t="s">
        <v>6</v>
      </c>
      <c r="BZ217" s="2">
        <v>161</v>
      </c>
      <c r="CA217" s="2">
        <v>107</v>
      </c>
      <c r="CB217" s="2" t="s">
        <v>6</v>
      </c>
      <c r="CC217" s="2"/>
      <c r="CD217" s="2"/>
      <c r="CE217" s="2">
        <v>30</v>
      </c>
      <c r="CF217" s="2">
        <v>0</v>
      </c>
      <c r="CG217" s="2">
        <v>0</v>
      </c>
      <c r="CH217" s="2"/>
      <c r="CI217" s="2"/>
      <c r="CJ217" s="2"/>
      <c r="CK217" s="2"/>
      <c r="CL217" s="2"/>
      <c r="CM217" s="2">
        <v>0</v>
      </c>
      <c r="CN217" s="2" t="s">
        <v>6</v>
      </c>
      <c r="CO217" s="2">
        <v>0</v>
      </c>
      <c r="CP217" s="2">
        <f t="shared" si="306"/>
        <v>373.92</v>
      </c>
      <c r="CQ217" s="2">
        <f t="shared" si="307"/>
        <v>532.65</v>
      </c>
      <c r="CR217" s="2">
        <f t="shared" si="308"/>
        <v>0</v>
      </c>
      <c r="CS217" s="2">
        <f t="shared" si="309"/>
        <v>0</v>
      </c>
      <c r="CT217" s="2">
        <f t="shared" si="310"/>
        <v>0</v>
      </c>
      <c r="CU217" s="2">
        <f t="shared" si="311"/>
        <v>0</v>
      </c>
      <c r="CV217" s="2">
        <f t="shared" si="312"/>
        <v>0</v>
      </c>
      <c r="CW217" s="2">
        <f t="shared" si="313"/>
        <v>0</v>
      </c>
      <c r="CX217" s="2">
        <f t="shared" si="314"/>
        <v>0</v>
      </c>
      <c r="CY217" s="2">
        <f>((S217*BZ217)/100)</f>
        <v>0</v>
      </c>
      <c r="CZ217" s="2">
        <f>((S217*CA217)/100)</f>
        <v>0</v>
      </c>
      <c r="DA217" s="2"/>
      <c r="DB217" s="2"/>
      <c r="DC217" s="2" t="s">
        <v>6</v>
      </c>
      <c r="DD217" s="2" t="s">
        <v>6</v>
      </c>
      <c r="DE217" s="2" t="s">
        <v>6</v>
      </c>
      <c r="DF217" s="2" t="s">
        <v>6</v>
      </c>
      <c r="DG217" s="2" t="s">
        <v>6</v>
      </c>
      <c r="DH217" s="2" t="s">
        <v>6</v>
      </c>
      <c r="DI217" s="2" t="s">
        <v>6</v>
      </c>
      <c r="DJ217" s="2" t="s">
        <v>6</v>
      </c>
      <c r="DK217" s="2" t="s">
        <v>6</v>
      </c>
      <c r="DL217" s="2" t="s">
        <v>6</v>
      </c>
      <c r="DM217" s="2" t="s">
        <v>6</v>
      </c>
      <c r="DN217" s="2">
        <v>0</v>
      </c>
      <c r="DO217" s="2">
        <v>0</v>
      </c>
      <c r="DP217" s="2">
        <v>1</v>
      </c>
      <c r="DQ217" s="2">
        <v>1</v>
      </c>
      <c r="DR217" s="2"/>
      <c r="DS217" s="2"/>
      <c r="DT217" s="2"/>
      <c r="DU217" s="2">
        <v>1007</v>
      </c>
      <c r="DV217" s="2" t="s">
        <v>35</v>
      </c>
      <c r="DW217" s="2" t="s">
        <v>35</v>
      </c>
      <c r="DX217" s="2">
        <v>1</v>
      </c>
      <c r="DY217" s="2"/>
      <c r="DZ217" s="2" t="s">
        <v>6</v>
      </c>
      <c r="EA217" s="2" t="s">
        <v>6</v>
      </c>
      <c r="EB217" s="2" t="s">
        <v>6</v>
      </c>
      <c r="EC217" s="2" t="s">
        <v>6</v>
      </c>
      <c r="ED217" s="2"/>
      <c r="EE217" s="2">
        <v>69252773</v>
      </c>
      <c r="EF217" s="2">
        <v>30</v>
      </c>
      <c r="EG217" s="2" t="s">
        <v>29</v>
      </c>
      <c r="EH217" s="2">
        <v>0</v>
      </c>
      <c r="EI217" s="2" t="s">
        <v>6</v>
      </c>
      <c r="EJ217" s="2">
        <v>1</v>
      </c>
      <c r="EK217" s="2">
        <v>148</v>
      </c>
      <c r="EL217" s="2" t="s">
        <v>277</v>
      </c>
      <c r="EM217" s="2" t="s">
        <v>278</v>
      </c>
      <c r="EN217" s="2"/>
      <c r="EO217" s="2" t="s">
        <v>6</v>
      </c>
      <c r="EP217" s="2"/>
      <c r="EQ217" s="2">
        <v>1024</v>
      </c>
      <c r="ER217" s="2">
        <v>517.14</v>
      </c>
      <c r="ES217" s="2">
        <v>517.14</v>
      </c>
      <c r="ET217" s="2">
        <v>0</v>
      </c>
      <c r="EU217" s="2">
        <v>0</v>
      </c>
      <c r="EV217" s="2">
        <v>0</v>
      </c>
      <c r="EW217" s="2">
        <v>0</v>
      </c>
      <c r="EX217" s="2">
        <v>0</v>
      </c>
      <c r="EY217" s="2"/>
      <c r="EZ217" s="2"/>
      <c r="FA217" s="2"/>
      <c r="FB217" s="2"/>
      <c r="FC217" s="2"/>
      <c r="FD217" s="2"/>
      <c r="FE217" s="2"/>
      <c r="FF217" s="2"/>
      <c r="FG217" s="2"/>
      <c r="FH217" s="2"/>
      <c r="FI217" s="2"/>
      <c r="FJ217" s="2"/>
      <c r="FK217" s="2"/>
      <c r="FL217" s="2"/>
      <c r="FM217" s="2"/>
      <c r="FN217" s="2"/>
      <c r="FO217" s="2"/>
      <c r="FP217" s="2"/>
      <c r="FQ217" s="2">
        <v>0</v>
      </c>
      <c r="FR217" s="2">
        <f t="shared" si="315"/>
        <v>0</v>
      </c>
      <c r="FS217" s="2">
        <v>0</v>
      </c>
      <c r="FT217" s="2"/>
      <c r="FU217" s="2"/>
      <c r="FV217" s="2"/>
      <c r="FW217" s="2"/>
      <c r="FX217" s="2">
        <v>161</v>
      </c>
      <c r="FY217" s="2">
        <v>107</v>
      </c>
      <c r="FZ217" s="2"/>
      <c r="GA217" s="2" t="s">
        <v>6</v>
      </c>
      <c r="GB217" s="2"/>
      <c r="GC217" s="2"/>
      <c r="GD217" s="2">
        <v>0</v>
      </c>
      <c r="GE217" s="2"/>
      <c r="GF217" s="2">
        <v>772680519</v>
      </c>
      <c r="GG217" s="2">
        <v>2</v>
      </c>
      <c r="GH217" s="2">
        <v>1</v>
      </c>
      <c r="GI217" s="2">
        <v>-2</v>
      </c>
      <c r="GJ217" s="2">
        <v>0</v>
      </c>
      <c r="GK217" s="2">
        <f>ROUND(R217*(R12)/100,2)</f>
        <v>0</v>
      </c>
      <c r="GL217" s="2">
        <f t="shared" si="316"/>
        <v>0</v>
      </c>
      <c r="GM217" s="2">
        <f t="shared" si="317"/>
        <v>373.92</v>
      </c>
      <c r="GN217" s="2">
        <f t="shared" si="318"/>
        <v>373.92</v>
      </c>
      <c r="GO217" s="2">
        <f t="shared" si="319"/>
        <v>0</v>
      </c>
      <c r="GP217" s="2">
        <f t="shared" si="320"/>
        <v>0</v>
      </c>
      <c r="GQ217" s="2"/>
      <c r="GR217" s="2">
        <v>0</v>
      </c>
      <c r="GS217" s="2">
        <v>3</v>
      </c>
      <c r="GT217" s="2">
        <v>0</v>
      </c>
      <c r="GU217" s="2" t="s">
        <v>6</v>
      </c>
      <c r="GV217" s="2">
        <f t="shared" si="321"/>
        <v>0</v>
      </c>
      <c r="GW217" s="2">
        <v>1</v>
      </c>
      <c r="GX217" s="2">
        <f t="shared" si="322"/>
        <v>0</v>
      </c>
      <c r="GY217" s="2"/>
      <c r="GZ217" s="2"/>
      <c r="HA217" s="2">
        <v>0</v>
      </c>
      <c r="HB217" s="2">
        <v>0</v>
      </c>
      <c r="HC217" s="2">
        <f t="shared" si="323"/>
        <v>0</v>
      </c>
      <c r="HD217" s="2"/>
      <c r="HE217" s="2" t="s">
        <v>6</v>
      </c>
      <c r="HF217" s="2" t="s">
        <v>6</v>
      </c>
      <c r="HG217" s="2"/>
      <c r="HH217" s="2"/>
      <c r="HI217" s="2"/>
      <c r="HJ217" s="2"/>
      <c r="HK217" s="2"/>
      <c r="HL217" s="2"/>
      <c r="HM217" s="2" t="s">
        <v>6</v>
      </c>
      <c r="HN217" s="2" t="s">
        <v>6</v>
      </c>
      <c r="HO217" s="2" t="s">
        <v>6</v>
      </c>
      <c r="HP217" s="2" t="s">
        <v>6</v>
      </c>
      <c r="HQ217" s="2" t="s">
        <v>6</v>
      </c>
      <c r="HR217" s="2"/>
      <c r="HS217" s="2"/>
      <c r="HT217" s="2"/>
      <c r="HU217" s="2"/>
      <c r="HV217" s="2"/>
      <c r="HW217" s="2"/>
      <c r="HX217" s="2"/>
      <c r="HY217" s="2"/>
      <c r="HZ217" s="2"/>
      <c r="IA217" s="2"/>
      <c r="IB217" s="2"/>
      <c r="IC217" s="2"/>
      <c r="ID217" s="2"/>
      <c r="IE217" s="2"/>
      <c r="IF217" s="2"/>
      <c r="IG217" s="2"/>
      <c r="IH217" s="2"/>
      <c r="II217" s="2"/>
      <c r="IJ217" s="2"/>
      <c r="IK217" s="2">
        <v>0</v>
      </c>
      <c r="IL217" s="2"/>
      <c r="IM217" s="2"/>
      <c r="IN217" s="2"/>
      <c r="IO217" s="2"/>
      <c r="IP217" s="2"/>
      <c r="IQ217" s="2"/>
      <c r="IR217" s="2"/>
      <c r="IS217" s="2"/>
      <c r="IT217" s="2"/>
      <c r="IU217" s="2"/>
    </row>
    <row r="218" spans="1:255">
      <c r="A218">
        <v>18</v>
      </c>
      <c r="B218">
        <v>1</v>
      </c>
      <c r="E218" t="s">
        <v>6</v>
      </c>
      <c r="F218" t="s">
        <v>198</v>
      </c>
      <c r="G218" t="s">
        <v>199</v>
      </c>
      <c r="H218" t="s">
        <v>35</v>
      </c>
      <c r="I218">
        <f>I216*J218</f>
        <v>0.70199999999999996</v>
      </c>
      <c r="J218">
        <v>3.9</v>
      </c>
      <c r="K218">
        <v>3.9</v>
      </c>
      <c r="O218">
        <f t="shared" si="286"/>
        <v>4778.7</v>
      </c>
      <c r="P218">
        <f t="shared" si="287"/>
        <v>4778.7</v>
      </c>
      <c r="Q218">
        <f t="shared" si="288"/>
        <v>0</v>
      </c>
      <c r="R218">
        <f t="shared" si="289"/>
        <v>0</v>
      </c>
      <c r="S218">
        <f t="shared" si="290"/>
        <v>0</v>
      </c>
      <c r="T218">
        <f t="shared" si="291"/>
        <v>0</v>
      </c>
      <c r="U218">
        <f t="shared" si="292"/>
        <v>0</v>
      </c>
      <c r="V218">
        <f t="shared" si="293"/>
        <v>0</v>
      </c>
      <c r="W218">
        <f t="shared" si="294"/>
        <v>0</v>
      </c>
      <c r="X218">
        <f t="shared" si="295"/>
        <v>0</v>
      </c>
      <c r="Y218">
        <f t="shared" si="296"/>
        <v>0</v>
      </c>
      <c r="AA218">
        <v>-1</v>
      </c>
      <c r="AB218">
        <f t="shared" si="297"/>
        <v>517.14</v>
      </c>
      <c r="AC218">
        <f t="shared" si="298"/>
        <v>517.14</v>
      </c>
      <c r="AD218">
        <f t="shared" si="299"/>
        <v>0</v>
      </c>
      <c r="AE218">
        <f t="shared" si="300"/>
        <v>0</v>
      </c>
      <c r="AF218">
        <f t="shared" si="301"/>
        <v>0</v>
      </c>
      <c r="AG218">
        <f t="shared" si="302"/>
        <v>0</v>
      </c>
      <c r="AH218">
        <f t="shared" si="303"/>
        <v>0</v>
      </c>
      <c r="AI218">
        <f t="shared" si="304"/>
        <v>0</v>
      </c>
      <c r="AJ218">
        <f t="shared" si="305"/>
        <v>0</v>
      </c>
      <c r="AK218">
        <v>517.14</v>
      </c>
      <c r="AL218">
        <v>517.14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1.0469999999999999</v>
      </c>
      <c r="AW218">
        <v>1.03</v>
      </c>
      <c r="AZ218">
        <v>1</v>
      </c>
      <c r="BA218">
        <v>1</v>
      </c>
      <c r="BB218">
        <v>1</v>
      </c>
      <c r="BC218">
        <v>12.78</v>
      </c>
      <c r="BD218" t="s">
        <v>6</v>
      </c>
      <c r="BE218" t="s">
        <v>6</v>
      </c>
      <c r="BF218" t="s">
        <v>6</v>
      </c>
      <c r="BG218" t="s">
        <v>6</v>
      </c>
      <c r="BH218">
        <v>3</v>
      </c>
      <c r="BI218">
        <v>1</v>
      </c>
      <c r="BJ218" t="s">
        <v>200</v>
      </c>
      <c r="BM218">
        <v>148</v>
      </c>
      <c r="BN218">
        <v>0</v>
      </c>
      <c r="BO218" t="s">
        <v>198</v>
      </c>
      <c r="BP218">
        <v>1</v>
      </c>
      <c r="BQ218">
        <v>30</v>
      </c>
      <c r="BR218">
        <v>0</v>
      </c>
      <c r="BS218">
        <v>1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6</v>
      </c>
      <c r="BZ218">
        <v>0</v>
      </c>
      <c r="CA218">
        <v>0</v>
      </c>
      <c r="CB218" t="s">
        <v>6</v>
      </c>
      <c r="CE218">
        <v>30</v>
      </c>
      <c r="CF218">
        <v>0</v>
      </c>
      <c r="CG218">
        <v>0</v>
      </c>
      <c r="CM218">
        <v>0</v>
      </c>
      <c r="CN218" t="s">
        <v>6</v>
      </c>
      <c r="CO218">
        <v>0</v>
      </c>
      <c r="CP218">
        <f t="shared" si="306"/>
        <v>4778.7</v>
      </c>
      <c r="CQ218">
        <f t="shared" si="307"/>
        <v>6807.27</v>
      </c>
      <c r="CR218">
        <f t="shared" si="308"/>
        <v>0</v>
      </c>
      <c r="CS218">
        <f t="shared" si="309"/>
        <v>0</v>
      </c>
      <c r="CT218">
        <f t="shared" si="310"/>
        <v>0</v>
      </c>
      <c r="CU218">
        <f t="shared" si="311"/>
        <v>0</v>
      </c>
      <c r="CV218">
        <f t="shared" si="312"/>
        <v>0</v>
      </c>
      <c r="CW218">
        <f t="shared" si="313"/>
        <v>0</v>
      </c>
      <c r="CX218">
        <f t="shared" si="314"/>
        <v>0</v>
      </c>
      <c r="CY218">
        <f>S218*(BZ218/100)</f>
        <v>0</v>
      </c>
      <c r="CZ218">
        <f>S218*(CA218/100)</f>
        <v>0</v>
      </c>
      <c r="DC218" t="s">
        <v>6</v>
      </c>
      <c r="DD218" t="s">
        <v>6</v>
      </c>
      <c r="DE218" t="s">
        <v>6</v>
      </c>
      <c r="DF218" t="s">
        <v>6</v>
      </c>
      <c r="DG218" t="s">
        <v>6</v>
      </c>
      <c r="DH218" t="s">
        <v>6</v>
      </c>
      <c r="DI218" t="s">
        <v>6</v>
      </c>
      <c r="DJ218" t="s">
        <v>6</v>
      </c>
      <c r="DK218" t="s">
        <v>6</v>
      </c>
      <c r="DL218" t="s">
        <v>6</v>
      </c>
      <c r="DM218" t="s">
        <v>6</v>
      </c>
      <c r="DN218">
        <v>161</v>
      </c>
      <c r="DO218">
        <v>107</v>
      </c>
      <c r="DP218">
        <v>1.0469999999999999</v>
      </c>
      <c r="DQ218">
        <v>1.03</v>
      </c>
      <c r="DU218">
        <v>1007</v>
      </c>
      <c r="DV218" t="s">
        <v>35</v>
      </c>
      <c r="DW218" t="s">
        <v>35</v>
      </c>
      <c r="DX218">
        <v>1</v>
      </c>
      <c r="DZ218" t="s">
        <v>6</v>
      </c>
      <c r="EA218" t="s">
        <v>6</v>
      </c>
      <c r="EB218" t="s">
        <v>6</v>
      </c>
      <c r="EC218" t="s">
        <v>6</v>
      </c>
      <c r="EE218">
        <v>69252773</v>
      </c>
      <c r="EF218">
        <v>30</v>
      </c>
      <c r="EG218" t="s">
        <v>29</v>
      </c>
      <c r="EH218">
        <v>0</v>
      </c>
      <c r="EI218" t="s">
        <v>6</v>
      </c>
      <c r="EJ218">
        <v>1</v>
      </c>
      <c r="EK218">
        <v>148</v>
      </c>
      <c r="EL218" t="s">
        <v>277</v>
      </c>
      <c r="EM218" t="s">
        <v>278</v>
      </c>
      <c r="EO218" t="s">
        <v>6</v>
      </c>
      <c r="EQ218">
        <v>1024</v>
      </c>
      <c r="ER218">
        <v>517.14</v>
      </c>
      <c r="ES218">
        <v>517.14</v>
      </c>
      <c r="ET218">
        <v>0</v>
      </c>
      <c r="EU218">
        <v>0</v>
      </c>
      <c r="EV218">
        <v>0</v>
      </c>
      <c r="EW218">
        <v>0</v>
      </c>
      <c r="EX218">
        <v>0</v>
      </c>
      <c r="FQ218">
        <v>0</v>
      </c>
      <c r="FR218">
        <f t="shared" si="315"/>
        <v>0</v>
      </c>
      <c r="FS218">
        <v>0</v>
      </c>
      <c r="FX218">
        <v>161</v>
      </c>
      <c r="FY218">
        <v>107</v>
      </c>
      <c r="GA218" t="s">
        <v>6</v>
      </c>
      <c r="GD218">
        <v>0</v>
      </c>
      <c r="GF218">
        <v>772680519</v>
      </c>
      <c r="GG218">
        <v>2</v>
      </c>
      <c r="GH218">
        <v>1</v>
      </c>
      <c r="GI218">
        <v>2</v>
      </c>
      <c r="GJ218">
        <v>0</v>
      </c>
      <c r="GK218">
        <f>ROUND(R218*(S12)/100,2)</f>
        <v>0</v>
      </c>
      <c r="GL218">
        <f t="shared" si="316"/>
        <v>0</v>
      </c>
      <c r="GM218">
        <f t="shared" si="317"/>
        <v>4778.7</v>
      </c>
      <c r="GN218">
        <f t="shared" si="318"/>
        <v>4778.7</v>
      </c>
      <c r="GO218">
        <f t="shared" si="319"/>
        <v>0</v>
      </c>
      <c r="GP218">
        <f t="shared" si="320"/>
        <v>0</v>
      </c>
      <c r="GR218">
        <v>0</v>
      </c>
      <c r="GS218">
        <v>0</v>
      </c>
      <c r="GT218">
        <v>0</v>
      </c>
      <c r="GU218" t="s">
        <v>6</v>
      </c>
      <c r="GV218">
        <f t="shared" si="321"/>
        <v>0</v>
      </c>
      <c r="GW218">
        <v>1</v>
      </c>
      <c r="GX218">
        <f t="shared" si="322"/>
        <v>0</v>
      </c>
      <c r="HA218">
        <v>0</v>
      </c>
      <c r="HB218">
        <v>0</v>
      </c>
      <c r="HC218">
        <f t="shared" si="323"/>
        <v>0</v>
      </c>
      <c r="HE218" t="s">
        <v>6</v>
      </c>
      <c r="HF218" t="s">
        <v>6</v>
      </c>
      <c r="HM218" t="s">
        <v>6</v>
      </c>
      <c r="HN218" t="s">
        <v>6</v>
      </c>
      <c r="HO218" t="s">
        <v>6</v>
      </c>
      <c r="HP218" t="s">
        <v>6</v>
      </c>
      <c r="HQ218" t="s">
        <v>6</v>
      </c>
      <c r="IK218">
        <v>0</v>
      </c>
    </row>
    <row r="219" spans="1:255">
      <c r="A219" s="2">
        <v>18</v>
      </c>
      <c r="B219" s="2">
        <v>1</v>
      </c>
      <c r="C219" s="2"/>
      <c r="D219" s="2"/>
      <c r="E219" s="2" t="s">
        <v>6</v>
      </c>
      <c r="F219" s="2" t="s">
        <v>279</v>
      </c>
      <c r="G219" s="2" t="s">
        <v>280</v>
      </c>
      <c r="H219" s="2" t="s">
        <v>35</v>
      </c>
      <c r="I219" s="2">
        <f>I215*J219</f>
        <v>0.77400000000000013</v>
      </c>
      <c r="J219" s="2">
        <v>4.3000000000000007</v>
      </c>
      <c r="K219" s="2">
        <v>4.3</v>
      </c>
      <c r="L219" s="2"/>
      <c r="M219" s="2"/>
      <c r="N219" s="2"/>
      <c r="O219" s="2">
        <f t="shared" si="286"/>
        <v>1407.59</v>
      </c>
      <c r="P219" s="2">
        <f t="shared" si="287"/>
        <v>1407.59</v>
      </c>
      <c r="Q219" s="2">
        <f t="shared" si="288"/>
        <v>0</v>
      </c>
      <c r="R219" s="2">
        <f t="shared" si="289"/>
        <v>0</v>
      </c>
      <c r="S219" s="2">
        <f t="shared" si="290"/>
        <v>0</v>
      </c>
      <c r="T219" s="2">
        <f t="shared" si="291"/>
        <v>0</v>
      </c>
      <c r="U219" s="2">
        <f t="shared" si="292"/>
        <v>0</v>
      </c>
      <c r="V219" s="2">
        <f t="shared" si="293"/>
        <v>0</v>
      </c>
      <c r="W219" s="2">
        <f t="shared" si="294"/>
        <v>0</v>
      </c>
      <c r="X219" s="2">
        <f t="shared" si="295"/>
        <v>0</v>
      </c>
      <c r="Y219" s="2">
        <f t="shared" si="296"/>
        <v>0</v>
      </c>
      <c r="Z219" s="2"/>
      <c r="AA219" s="2">
        <v>-1</v>
      </c>
      <c r="AB219" s="2">
        <f t="shared" si="297"/>
        <v>1765.62</v>
      </c>
      <c r="AC219" s="2">
        <f t="shared" si="298"/>
        <v>1765.62</v>
      </c>
      <c r="AD219" s="2">
        <f t="shared" si="299"/>
        <v>0</v>
      </c>
      <c r="AE219" s="2">
        <f t="shared" si="300"/>
        <v>0</v>
      </c>
      <c r="AF219" s="2">
        <f t="shared" si="301"/>
        <v>0</v>
      </c>
      <c r="AG219" s="2">
        <f t="shared" si="302"/>
        <v>0</v>
      </c>
      <c r="AH219" s="2">
        <f t="shared" si="303"/>
        <v>0</v>
      </c>
      <c r="AI219" s="2">
        <f t="shared" si="304"/>
        <v>0</v>
      </c>
      <c r="AJ219" s="2">
        <f t="shared" si="305"/>
        <v>0</v>
      </c>
      <c r="AK219" s="2">
        <v>1765.62</v>
      </c>
      <c r="AL219" s="2">
        <v>1765.62</v>
      </c>
      <c r="AM219" s="2">
        <v>0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161</v>
      </c>
      <c r="AU219" s="2">
        <v>107</v>
      </c>
      <c r="AV219" s="2">
        <v>1.0469999999999999</v>
      </c>
      <c r="AW219" s="2">
        <v>1.03</v>
      </c>
      <c r="AX219" s="2"/>
      <c r="AY219" s="2"/>
      <c r="AZ219" s="2">
        <v>1</v>
      </c>
      <c r="BA219" s="2">
        <v>1</v>
      </c>
      <c r="BB219" s="2">
        <v>1</v>
      </c>
      <c r="BC219" s="2">
        <v>1</v>
      </c>
      <c r="BD219" s="2" t="s">
        <v>6</v>
      </c>
      <c r="BE219" s="2" t="s">
        <v>6</v>
      </c>
      <c r="BF219" s="2" t="s">
        <v>6</v>
      </c>
      <c r="BG219" s="2" t="s">
        <v>6</v>
      </c>
      <c r="BH219" s="2">
        <v>3</v>
      </c>
      <c r="BI219" s="2">
        <v>1</v>
      </c>
      <c r="BJ219" s="2" t="s">
        <v>281</v>
      </c>
      <c r="BK219" s="2"/>
      <c r="BL219" s="2"/>
      <c r="BM219" s="2">
        <v>148</v>
      </c>
      <c r="BN219" s="2">
        <v>0</v>
      </c>
      <c r="BO219" s="2" t="s">
        <v>6</v>
      </c>
      <c r="BP219" s="2">
        <v>0</v>
      </c>
      <c r="BQ219" s="2">
        <v>30</v>
      </c>
      <c r="BR219" s="2">
        <v>0</v>
      </c>
      <c r="BS219" s="2">
        <v>1</v>
      </c>
      <c r="BT219" s="2">
        <v>1</v>
      </c>
      <c r="BU219" s="2">
        <v>1</v>
      </c>
      <c r="BV219" s="2">
        <v>1</v>
      </c>
      <c r="BW219" s="2">
        <v>1</v>
      </c>
      <c r="BX219" s="2">
        <v>1</v>
      </c>
      <c r="BY219" s="2" t="s">
        <v>6</v>
      </c>
      <c r="BZ219" s="2">
        <v>161</v>
      </c>
      <c r="CA219" s="2">
        <v>107</v>
      </c>
      <c r="CB219" s="2" t="s">
        <v>6</v>
      </c>
      <c r="CC219" s="2"/>
      <c r="CD219" s="2"/>
      <c r="CE219" s="2">
        <v>30</v>
      </c>
      <c r="CF219" s="2">
        <v>0</v>
      </c>
      <c r="CG219" s="2">
        <v>0</v>
      </c>
      <c r="CH219" s="2"/>
      <c r="CI219" s="2"/>
      <c r="CJ219" s="2"/>
      <c r="CK219" s="2"/>
      <c r="CL219" s="2"/>
      <c r="CM219" s="2">
        <v>0</v>
      </c>
      <c r="CN219" s="2" t="s">
        <v>6</v>
      </c>
      <c r="CO219" s="2">
        <v>0</v>
      </c>
      <c r="CP219" s="2">
        <f t="shared" si="306"/>
        <v>1407.59</v>
      </c>
      <c r="CQ219" s="2">
        <f t="shared" si="307"/>
        <v>1818.59</v>
      </c>
      <c r="CR219" s="2">
        <f t="shared" si="308"/>
        <v>0</v>
      </c>
      <c r="CS219" s="2">
        <f t="shared" si="309"/>
        <v>0</v>
      </c>
      <c r="CT219" s="2">
        <f t="shared" si="310"/>
        <v>0</v>
      </c>
      <c r="CU219" s="2">
        <f t="shared" si="311"/>
        <v>0</v>
      </c>
      <c r="CV219" s="2">
        <f t="shared" si="312"/>
        <v>0</v>
      </c>
      <c r="CW219" s="2">
        <f t="shared" si="313"/>
        <v>0</v>
      </c>
      <c r="CX219" s="2">
        <f t="shared" si="314"/>
        <v>0</v>
      </c>
      <c r="CY219" s="2">
        <f>((S219*BZ219)/100)</f>
        <v>0</v>
      </c>
      <c r="CZ219" s="2">
        <f>((S219*CA219)/100)</f>
        <v>0</v>
      </c>
      <c r="DA219" s="2"/>
      <c r="DB219" s="2"/>
      <c r="DC219" s="2" t="s">
        <v>6</v>
      </c>
      <c r="DD219" s="2" t="s">
        <v>6</v>
      </c>
      <c r="DE219" s="2" t="s">
        <v>6</v>
      </c>
      <c r="DF219" s="2" t="s">
        <v>6</v>
      </c>
      <c r="DG219" s="2" t="s">
        <v>6</v>
      </c>
      <c r="DH219" s="2" t="s">
        <v>6</v>
      </c>
      <c r="DI219" s="2" t="s">
        <v>6</v>
      </c>
      <c r="DJ219" s="2" t="s">
        <v>6</v>
      </c>
      <c r="DK219" s="2" t="s">
        <v>6</v>
      </c>
      <c r="DL219" s="2" t="s">
        <v>6</v>
      </c>
      <c r="DM219" s="2" t="s">
        <v>6</v>
      </c>
      <c r="DN219" s="2">
        <v>0</v>
      </c>
      <c r="DO219" s="2">
        <v>0</v>
      </c>
      <c r="DP219" s="2">
        <v>1</v>
      </c>
      <c r="DQ219" s="2">
        <v>1</v>
      </c>
      <c r="DR219" s="2"/>
      <c r="DS219" s="2"/>
      <c r="DT219" s="2"/>
      <c r="DU219" s="2">
        <v>1007</v>
      </c>
      <c r="DV219" s="2" t="s">
        <v>35</v>
      </c>
      <c r="DW219" s="2" t="s">
        <v>35</v>
      </c>
      <c r="DX219" s="2">
        <v>1</v>
      </c>
      <c r="DY219" s="2"/>
      <c r="DZ219" s="2" t="s">
        <v>6</v>
      </c>
      <c r="EA219" s="2" t="s">
        <v>6</v>
      </c>
      <c r="EB219" s="2" t="s">
        <v>6</v>
      </c>
      <c r="EC219" s="2" t="s">
        <v>6</v>
      </c>
      <c r="ED219" s="2"/>
      <c r="EE219" s="2">
        <v>69252773</v>
      </c>
      <c r="EF219" s="2">
        <v>30</v>
      </c>
      <c r="EG219" s="2" t="s">
        <v>29</v>
      </c>
      <c r="EH219" s="2">
        <v>0</v>
      </c>
      <c r="EI219" s="2" t="s">
        <v>6</v>
      </c>
      <c r="EJ219" s="2">
        <v>1</v>
      </c>
      <c r="EK219" s="2">
        <v>148</v>
      </c>
      <c r="EL219" s="2" t="s">
        <v>277</v>
      </c>
      <c r="EM219" s="2" t="s">
        <v>278</v>
      </c>
      <c r="EN219" s="2"/>
      <c r="EO219" s="2" t="s">
        <v>6</v>
      </c>
      <c r="EP219" s="2"/>
      <c r="EQ219" s="2">
        <v>1024</v>
      </c>
      <c r="ER219" s="2">
        <v>1765.62</v>
      </c>
      <c r="ES219" s="2">
        <v>1765.62</v>
      </c>
      <c r="ET219" s="2">
        <v>0</v>
      </c>
      <c r="EU219" s="2">
        <v>0</v>
      </c>
      <c r="EV219" s="2">
        <v>0</v>
      </c>
      <c r="EW219" s="2">
        <v>0</v>
      </c>
      <c r="EX219" s="2">
        <v>0</v>
      </c>
      <c r="EY219" s="2"/>
      <c r="EZ219" s="2"/>
      <c r="FA219" s="2"/>
      <c r="FB219" s="2"/>
      <c r="FC219" s="2"/>
      <c r="FD219" s="2"/>
      <c r="FE219" s="2"/>
      <c r="FF219" s="2"/>
      <c r="FG219" s="2"/>
      <c r="FH219" s="2"/>
      <c r="FI219" s="2"/>
      <c r="FJ219" s="2"/>
      <c r="FK219" s="2"/>
      <c r="FL219" s="2"/>
      <c r="FM219" s="2"/>
      <c r="FN219" s="2"/>
      <c r="FO219" s="2"/>
      <c r="FP219" s="2"/>
      <c r="FQ219" s="2">
        <v>0</v>
      </c>
      <c r="FR219" s="2">
        <f t="shared" si="315"/>
        <v>0</v>
      </c>
      <c r="FS219" s="2">
        <v>0</v>
      </c>
      <c r="FT219" s="2"/>
      <c r="FU219" s="2"/>
      <c r="FV219" s="2"/>
      <c r="FW219" s="2"/>
      <c r="FX219" s="2">
        <v>161</v>
      </c>
      <c r="FY219" s="2">
        <v>107</v>
      </c>
      <c r="FZ219" s="2"/>
      <c r="GA219" s="2" t="s">
        <v>6</v>
      </c>
      <c r="GB219" s="2"/>
      <c r="GC219" s="2"/>
      <c r="GD219" s="2">
        <v>0</v>
      </c>
      <c r="GE219" s="2"/>
      <c r="GF219" s="2">
        <v>8501803</v>
      </c>
      <c r="GG219" s="2">
        <v>2</v>
      </c>
      <c r="GH219" s="2">
        <v>1</v>
      </c>
      <c r="GI219" s="2">
        <v>-2</v>
      </c>
      <c r="GJ219" s="2">
        <v>0</v>
      </c>
      <c r="GK219" s="2">
        <f>ROUND(R219*(R12)/100,2)</f>
        <v>0</v>
      </c>
      <c r="GL219" s="2">
        <f t="shared" si="316"/>
        <v>0</v>
      </c>
      <c r="GM219" s="2">
        <f t="shared" si="317"/>
        <v>1407.59</v>
      </c>
      <c r="GN219" s="2">
        <f t="shared" si="318"/>
        <v>1407.59</v>
      </c>
      <c r="GO219" s="2">
        <f t="shared" si="319"/>
        <v>0</v>
      </c>
      <c r="GP219" s="2">
        <f t="shared" si="320"/>
        <v>0</v>
      </c>
      <c r="GQ219" s="2"/>
      <c r="GR219" s="2">
        <v>0</v>
      </c>
      <c r="GS219" s="2">
        <v>3</v>
      </c>
      <c r="GT219" s="2">
        <v>0</v>
      </c>
      <c r="GU219" s="2" t="s">
        <v>6</v>
      </c>
      <c r="GV219" s="2">
        <f t="shared" si="321"/>
        <v>0</v>
      </c>
      <c r="GW219" s="2">
        <v>1</v>
      </c>
      <c r="GX219" s="2">
        <f t="shared" si="322"/>
        <v>0</v>
      </c>
      <c r="GY219" s="2"/>
      <c r="GZ219" s="2"/>
      <c r="HA219" s="2">
        <v>0</v>
      </c>
      <c r="HB219" s="2">
        <v>0</v>
      </c>
      <c r="HC219" s="2">
        <f t="shared" si="323"/>
        <v>0</v>
      </c>
      <c r="HD219" s="2"/>
      <c r="HE219" s="2" t="s">
        <v>6</v>
      </c>
      <c r="HF219" s="2" t="s">
        <v>6</v>
      </c>
      <c r="HG219" s="2"/>
      <c r="HH219" s="2"/>
      <c r="HI219" s="2"/>
      <c r="HJ219" s="2"/>
      <c r="HK219" s="2"/>
      <c r="HL219" s="2"/>
      <c r="HM219" s="2" t="s">
        <v>6</v>
      </c>
      <c r="HN219" s="2" t="s">
        <v>6</v>
      </c>
      <c r="HO219" s="2" t="s">
        <v>6</v>
      </c>
      <c r="HP219" s="2" t="s">
        <v>6</v>
      </c>
      <c r="HQ219" s="2" t="s">
        <v>6</v>
      </c>
      <c r="HR219" s="2"/>
      <c r="HS219" s="2"/>
      <c r="HT219" s="2"/>
      <c r="HU219" s="2"/>
      <c r="HV219" s="2"/>
      <c r="HW219" s="2"/>
      <c r="HX219" s="2"/>
      <c r="HY219" s="2"/>
      <c r="HZ219" s="2"/>
      <c r="IA219" s="2"/>
      <c r="IB219" s="2"/>
      <c r="IC219" s="2"/>
      <c r="ID219" s="2"/>
      <c r="IE219" s="2"/>
      <c r="IF219" s="2"/>
      <c r="IG219" s="2"/>
      <c r="IH219" s="2"/>
      <c r="II219" s="2"/>
      <c r="IJ219" s="2"/>
      <c r="IK219" s="2">
        <v>0</v>
      </c>
      <c r="IL219" s="2"/>
      <c r="IM219" s="2"/>
      <c r="IN219" s="2"/>
      <c r="IO219" s="2"/>
      <c r="IP219" s="2"/>
      <c r="IQ219" s="2"/>
      <c r="IR219" s="2"/>
      <c r="IS219" s="2"/>
      <c r="IT219" s="2"/>
      <c r="IU219" s="2"/>
    </row>
    <row r="220" spans="1:255">
      <c r="A220">
        <v>18</v>
      </c>
      <c r="B220">
        <v>1</v>
      </c>
      <c r="E220" t="s">
        <v>6</v>
      </c>
      <c r="F220" t="s">
        <v>279</v>
      </c>
      <c r="G220" t="s">
        <v>280</v>
      </c>
      <c r="H220" t="s">
        <v>35</v>
      </c>
      <c r="I220">
        <f>I216*J220</f>
        <v>0.77400000000000013</v>
      </c>
      <c r="J220">
        <v>4.3000000000000007</v>
      </c>
      <c r="K220">
        <v>4.3</v>
      </c>
      <c r="O220">
        <f t="shared" si="286"/>
        <v>9993.89</v>
      </c>
      <c r="P220">
        <f t="shared" si="287"/>
        <v>9993.89</v>
      </c>
      <c r="Q220">
        <f t="shared" si="288"/>
        <v>0</v>
      </c>
      <c r="R220">
        <f t="shared" si="289"/>
        <v>0</v>
      </c>
      <c r="S220">
        <f t="shared" si="290"/>
        <v>0</v>
      </c>
      <c r="T220">
        <f t="shared" si="291"/>
        <v>0</v>
      </c>
      <c r="U220">
        <f t="shared" si="292"/>
        <v>0</v>
      </c>
      <c r="V220">
        <f t="shared" si="293"/>
        <v>0</v>
      </c>
      <c r="W220">
        <f t="shared" si="294"/>
        <v>0</v>
      </c>
      <c r="X220">
        <f t="shared" si="295"/>
        <v>0</v>
      </c>
      <c r="Y220">
        <f t="shared" si="296"/>
        <v>0</v>
      </c>
      <c r="AA220">
        <v>-1</v>
      </c>
      <c r="AB220">
        <f t="shared" si="297"/>
        <v>1765.62</v>
      </c>
      <c r="AC220">
        <f t="shared" si="298"/>
        <v>1765.62</v>
      </c>
      <c r="AD220">
        <f t="shared" si="299"/>
        <v>0</v>
      </c>
      <c r="AE220">
        <f t="shared" si="300"/>
        <v>0</v>
      </c>
      <c r="AF220">
        <f t="shared" si="301"/>
        <v>0</v>
      </c>
      <c r="AG220">
        <f t="shared" si="302"/>
        <v>0</v>
      </c>
      <c r="AH220">
        <f t="shared" si="303"/>
        <v>0</v>
      </c>
      <c r="AI220">
        <f t="shared" si="304"/>
        <v>0</v>
      </c>
      <c r="AJ220">
        <f t="shared" si="305"/>
        <v>0</v>
      </c>
      <c r="AK220">
        <v>1765.62</v>
      </c>
      <c r="AL220">
        <v>1765.62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1.0469999999999999</v>
      </c>
      <c r="AW220">
        <v>1.03</v>
      </c>
      <c r="AZ220">
        <v>1</v>
      </c>
      <c r="BA220">
        <v>1</v>
      </c>
      <c r="BB220">
        <v>1</v>
      </c>
      <c r="BC220">
        <v>7.1</v>
      </c>
      <c r="BD220" t="s">
        <v>6</v>
      </c>
      <c r="BE220" t="s">
        <v>6</v>
      </c>
      <c r="BF220" t="s">
        <v>6</v>
      </c>
      <c r="BG220" t="s">
        <v>6</v>
      </c>
      <c r="BH220">
        <v>3</v>
      </c>
      <c r="BI220">
        <v>1</v>
      </c>
      <c r="BJ220" t="s">
        <v>281</v>
      </c>
      <c r="BM220">
        <v>148</v>
      </c>
      <c r="BN220">
        <v>0</v>
      </c>
      <c r="BO220" t="s">
        <v>279</v>
      </c>
      <c r="BP220">
        <v>1</v>
      </c>
      <c r="BQ220">
        <v>30</v>
      </c>
      <c r="BR220">
        <v>0</v>
      </c>
      <c r="BS220">
        <v>1</v>
      </c>
      <c r="BT220">
        <v>1</v>
      </c>
      <c r="BU220">
        <v>1</v>
      </c>
      <c r="BV220">
        <v>1</v>
      </c>
      <c r="BW220">
        <v>1</v>
      </c>
      <c r="BX220">
        <v>1</v>
      </c>
      <c r="BY220" t="s">
        <v>6</v>
      </c>
      <c r="BZ220">
        <v>0</v>
      </c>
      <c r="CA220">
        <v>0</v>
      </c>
      <c r="CB220" t="s">
        <v>6</v>
      </c>
      <c r="CE220">
        <v>30</v>
      </c>
      <c r="CF220">
        <v>0</v>
      </c>
      <c r="CG220">
        <v>0</v>
      </c>
      <c r="CM220">
        <v>0</v>
      </c>
      <c r="CN220" t="s">
        <v>6</v>
      </c>
      <c r="CO220">
        <v>0</v>
      </c>
      <c r="CP220">
        <f t="shared" si="306"/>
        <v>9993.89</v>
      </c>
      <c r="CQ220">
        <f t="shared" si="307"/>
        <v>12911.99</v>
      </c>
      <c r="CR220">
        <f t="shared" si="308"/>
        <v>0</v>
      </c>
      <c r="CS220">
        <f t="shared" si="309"/>
        <v>0</v>
      </c>
      <c r="CT220">
        <f t="shared" si="310"/>
        <v>0</v>
      </c>
      <c r="CU220">
        <f t="shared" si="311"/>
        <v>0</v>
      </c>
      <c r="CV220">
        <f t="shared" si="312"/>
        <v>0</v>
      </c>
      <c r="CW220">
        <f t="shared" si="313"/>
        <v>0</v>
      </c>
      <c r="CX220">
        <f t="shared" si="314"/>
        <v>0</v>
      </c>
      <c r="CY220">
        <f>S220*(BZ220/100)</f>
        <v>0</v>
      </c>
      <c r="CZ220">
        <f>S220*(CA220/100)</f>
        <v>0</v>
      </c>
      <c r="DC220" t="s">
        <v>6</v>
      </c>
      <c r="DD220" t="s">
        <v>6</v>
      </c>
      <c r="DE220" t="s">
        <v>6</v>
      </c>
      <c r="DF220" t="s">
        <v>6</v>
      </c>
      <c r="DG220" t="s">
        <v>6</v>
      </c>
      <c r="DH220" t="s">
        <v>6</v>
      </c>
      <c r="DI220" t="s">
        <v>6</v>
      </c>
      <c r="DJ220" t="s">
        <v>6</v>
      </c>
      <c r="DK220" t="s">
        <v>6</v>
      </c>
      <c r="DL220" t="s">
        <v>6</v>
      </c>
      <c r="DM220" t="s">
        <v>6</v>
      </c>
      <c r="DN220">
        <v>161</v>
      </c>
      <c r="DO220">
        <v>107</v>
      </c>
      <c r="DP220">
        <v>1.0469999999999999</v>
      </c>
      <c r="DQ220">
        <v>1.03</v>
      </c>
      <c r="DU220">
        <v>1007</v>
      </c>
      <c r="DV220" t="s">
        <v>35</v>
      </c>
      <c r="DW220" t="s">
        <v>35</v>
      </c>
      <c r="DX220">
        <v>1</v>
      </c>
      <c r="DZ220" t="s">
        <v>6</v>
      </c>
      <c r="EA220" t="s">
        <v>6</v>
      </c>
      <c r="EB220" t="s">
        <v>6</v>
      </c>
      <c r="EC220" t="s">
        <v>6</v>
      </c>
      <c r="EE220">
        <v>69252773</v>
      </c>
      <c r="EF220">
        <v>30</v>
      </c>
      <c r="EG220" t="s">
        <v>29</v>
      </c>
      <c r="EH220">
        <v>0</v>
      </c>
      <c r="EI220" t="s">
        <v>6</v>
      </c>
      <c r="EJ220">
        <v>1</v>
      </c>
      <c r="EK220">
        <v>148</v>
      </c>
      <c r="EL220" t="s">
        <v>277</v>
      </c>
      <c r="EM220" t="s">
        <v>278</v>
      </c>
      <c r="EO220" t="s">
        <v>6</v>
      </c>
      <c r="EQ220">
        <v>1024</v>
      </c>
      <c r="ER220">
        <v>1765.62</v>
      </c>
      <c r="ES220">
        <v>1765.62</v>
      </c>
      <c r="ET220">
        <v>0</v>
      </c>
      <c r="EU220">
        <v>0</v>
      </c>
      <c r="EV220">
        <v>0</v>
      </c>
      <c r="EW220">
        <v>0</v>
      </c>
      <c r="EX220">
        <v>0</v>
      </c>
      <c r="FQ220">
        <v>0</v>
      </c>
      <c r="FR220">
        <f t="shared" si="315"/>
        <v>0</v>
      </c>
      <c r="FS220">
        <v>0</v>
      </c>
      <c r="FX220">
        <v>161</v>
      </c>
      <c r="FY220">
        <v>107</v>
      </c>
      <c r="GA220" t="s">
        <v>6</v>
      </c>
      <c r="GD220">
        <v>0</v>
      </c>
      <c r="GF220">
        <v>8501803</v>
      </c>
      <c r="GG220">
        <v>2</v>
      </c>
      <c r="GH220">
        <v>1</v>
      </c>
      <c r="GI220">
        <v>2</v>
      </c>
      <c r="GJ220">
        <v>0</v>
      </c>
      <c r="GK220">
        <f>ROUND(R220*(S12)/100,2)</f>
        <v>0</v>
      </c>
      <c r="GL220">
        <f t="shared" si="316"/>
        <v>0</v>
      </c>
      <c r="GM220">
        <f t="shared" si="317"/>
        <v>9993.89</v>
      </c>
      <c r="GN220">
        <f t="shared" si="318"/>
        <v>9993.89</v>
      </c>
      <c r="GO220">
        <f t="shared" si="319"/>
        <v>0</v>
      </c>
      <c r="GP220">
        <f t="shared" si="320"/>
        <v>0</v>
      </c>
      <c r="GR220">
        <v>0</v>
      </c>
      <c r="GS220">
        <v>0</v>
      </c>
      <c r="GT220">
        <v>0</v>
      </c>
      <c r="GU220" t="s">
        <v>6</v>
      </c>
      <c r="GV220">
        <f t="shared" si="321"/>
        <v>0</v>
      </c>
      <c r="GW220">
        <v>1</v>
      </c>
      <c r="GX220">
        <f t="shared" si="322"/>
        <v>0</v>
      </c>
      <c r="HA220">
        <v>0</v>
      </c>
      <c r="HB220">
        <v>0</v>
      </c>
      <c r="HC220">
        <f t="shared" si="323"/>
        <v>0</v>
      </c>
      <c r="HE220" t="s">
        <v>6</v>
      </c>
      <c r="HF220" t="s">
        <v>6</v>
      </c>
      <c r="HM220" t="s">
        <v>6</v>
      </c>
      <c r="HN220" t="s">
        <v>6</v>
      </c>
      <c r="HO220" t="s">
        <v>6</v>
      </c>
      <c r="HP220" t="s">
        <v>6</v>
      </c>
      <c r="HQ220" t="s">
        <v>6</v>
      </c>
      <c r="IK220">
        <v>0</v>
      </c>
    </row>
    <row r="222" spans="1:255">
      <c r="A222" s="3">
        <v>51</v>
      </c>
      <c r="B222" s="3">
        <f>B131</f>
        <v>1</v>
      </c>
      <c r="C222" s="3">
        <f>A131</f>
        <v>5</v>
      </c>
      <c r="D222" s="3">
        <f>ROW(A131)</f>
        <v>131</v>
      </c>
      <c r="E222" s="3"/>
      <c r="F222" s="3" t="str">
        <f>IF(F131&lt;&gt;"",F131,"")</f>
        <v>Новый подраздел</v>
      </c>
      <c r="G222" s="3" t="str">
        <f>IF(G131&lt;&gt;"",G131,"")</f>
        <v>Разборка и восстановление  покрытий  направлением  СП 60401 - ТП 28274</v>
      </c>
      <c r="H222" s="3">
        <v>0</v>
      </c>
      <c r="I222" s="3"/>
      <c r="J222" s="3"/>
      <c r="K222" s="3"/>
      <c r="L222" s="3"/>
      <c r="M222" s="3"/>
      <c r="N222" s="3"/>
      <c r="O222" s="3">
        <f t="shared" ref="O222:T222" si="324">ROUND(AB222,2)</f>
        <v>807864.34</v>
      </c>
      <c r="P222" s="3">
        <f t="shared" si="324"/>
        <v>665555.86</v>
      </c>
      <c r="Q222" s="3">
        <f t="shared" si="324"/>
        <v>123568.53</v>
      </c>
      <c r="R222" s="3">
        <f t="shared" si="324"/>
        <v>11235.61</v>
      </c>
      <c r="S222" s="3">
        <f t="shared" si="324"/>
        <v>18739.95</v>
      </c>
      <c r="T222" s="3">
        <f t="shared" si="324"/>
        <v>0</v>
      </c>
      <c r="U222" s="3">
        <f>AH222</f>
        <v>1622.9368965599997</v>
      </c>
      <c r="V222" s="3">
        <f>AI222</f>
        <v>0</v>
      </c>
      <c r="W222" s="3">
        <f>ROUND(AJ222,2)</f>
        <v>0</v>
      </c>
      <c r="X222" s="3">
        <f>ROUND(AK222,2)</f>
        <v>26185.599999999999</v>
      </c>
      <c r="Y222" s="3">
        <f>ROUND(AL222,2)</f>
        <v>17420.54</v>
      </c>
      <c r="Z222" s="3"/>
      <c r="AA222" s="3"/>
      <c r="AB222" s="3">
        <f>ROUND(SUMIF(AA135:AA220,"=70322058",O135:O220),2)</f>
        <v>807864.34</v>
      </c>
      <c r="AC222" s="3">
        <f>ROUND(SUMIF(AA135:AA220,"=70322058",P135:P220),2)</f>
        <v>665555.86</v>
      </c>
      <c r="AD222" s="3">
        <f>ROUND(SUMIF(AA135:AA220,"=70322058",Q135:Q220),2)</f>
        <v>123568.53</v>
      </c>
      <c r="AE222" s="3">
        <f>ROUND(SUMIF(AA135:AA220,"=70322058",R135:R220),2)</f>
        <v>11235.61</v>
      </c>
      <c r="AF222" s="3">
        <f>ROUND(SUMIF(AA135:AA220,"=70322058",S135:S220),2)</f>
        <v>18739.95</v>
      </c>
      <c r="AG222" s="3">
        <f>ROUND(SUMIF(AA135:AA220,"=70322058",T135:T220),2)</f>
        <v>0</v>
      </c>
      <c r="AH222" s="3">
        <f>SUMIF(AA135:AA220,"=70322058",U135:U220)</f>
        <v>1622.9368965599997</v>
      </c>
      <c r="AI222" s="3">
        <f>SUMIF(AA135:AA220,"=70322058",V135:V220)</f>
        <v>0</v>
      </c>
      <c r="AJ222" s="3">
        <f>ROUND(SUMIF(AA135:AA220,"=70322058",W135:W220),2)</f>
        <v>0</v>
      </c>
      <c r="AK222" s="3">
        <f>ROUND(SUMIF(AA135:AA220,"=70322058",X135:X220),2)</f>
        <v>26185.599999999999</v>
      </c>
      <c r="AL222" s="3">
        <f>ROUND(SUMIF(AA135:AA220,"=70322058",Y135:Y220),2)</f>
        <v>17420.54</v>
      </c>
      <c r="AM222" s="3"/>
      <c r="AN222" s="3"/>
      <c r="AO222" s="3">
        <f t="shared" ref="AO222:BD222" si="325">ROUND(BX222,2)</f>
        <v>0</v>
      </c>
      <c r="AP222" s="3">
        <f t="shared" si="325"/>
        <v>0</v>
      </c>
      <c r="AQ222" s="3">
        <f t="shared" si="325"/>
        <v>0</v>
      </c>
      <c r="AR222" s="3">
        <f t="shared" si="325"/>
        <v>871132.83</v>
      </c>
      <c r="AS222" s="3">
        <f t="shared" si="325"/>
        <v>871132.83</v>
      </c>
      <c r="AT222" s="3">
        <f t="shared" si="325"/>
        <v>0</v>
      </c>
      <c r="AU222" s="3">
        <f t="shared" si="325"/>
        <v>0</v>
      </c>
      <c r="AV222" s="3">
        <f t="shared" si="325"/>
        <v>665555.86</v>
      </c>
      <c r="AW222" s="3">
        <f t="shared" si="325"/>
        <v>665555.86</v>
      </c>
      <c r="AX222" s="3">
        <f t="shared" si="325"/>
        <v>0</v>
      </c>
      <c r="AY222" s="3">
        <f t="shared" si="325"/>
        <v>665555.86</v>
      </c>
      <c r="AZ222" s="3">
        <f t="shared" si="325"/>
        <v>0</v>
      </c>
      <c r="BA222" s="3">
        <f t="shared" si="325"/>
        <v>0</v>
      </c>
      <c r="BB222" s="3">
        <f t="shared" si="325"/>
        <v>0</v>
      </c>
      <c r="BC222" s="3">
        <f t="shared" si="325"/>
        <v>0</v>
      </c>
      <c r="BD222" s="3">
        <f t="shared" si="325"/>
        <v>0</v>
      </c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>
        <f>ROUND(SUMIF(AA135:AA220,"=70322058",FQ135:FQ220),2)</f>
        <v>0</v>
      </c>
      <c r="BY222" s="3">
        <f>ROUND(SUMIF(AA135:AA220,"=70322058",FR135:FR220),2)</f>
        <v>0</v>
      </c>
      <c r="BZ222" s="3">
        <f>ROUND(SUMIF(AA135:AA220,"=70322058",GL135:GL220),2)</f>
        <v>0</v>
      </c>
      <c r="CA222" s="3">
        <f>ROUND(SUMIF(AA135:AA220,"=70322058",GM135:GM220),2)</f>
        <v>871132.83</v>
      </c>
      <c r="CB222" s="3">
        <f>ROUND(SUMIF(AA135:AA220,"=70322058",GN135:GN220),2)</f>
        <v>871132.83</v>
      </c>
      <c r="CC222" s="3">
        <f>ROUND(SUMIF(AA135:AA220,"=70322058",GO135:GO220),2)</f>
        <v>0</v>
      </c>
      <c r="CD222" s="3">
        <f>ROUND(SUMIF(AA135:AA220,"=70322058",GP135:GP220),2)</f>
        <v>0</v>
      </c>
      <c r="CE222" s="3">
        <f>AC222-BX222</f>
        <v>665555.86</v>
      </c>
      <c r="CF222" s="3">
        <f>AC222-BY222</f>
        <v>665555.86</v>
      </c>
      <c r="CG222" s="3">
        <f>BX222-BZ222</f>
        <v>0</v>
      </c>
      <c r="CH222" s="3">
        <f>AC222-BX222-BY222+BZ222</f>
        <v>665555.86</v>
      </c>
      <c r="CI222" s="3">
        <f>BY222-BZ222</f>
        <v>0</v>
      </c>
      <c r="CJ222" s="3">
        <f>ROUND(SUMIF(AA135:AA220,"=70322058",GX135:GX220),2)</f>
        <v>0</v>
      </c>
      <c r="CK222" s="3">
        <f>ROUND(SUMIF(AA135:AA220,"=70322058",GY135:GY220),2)</f>
        <v>0</v>
      </c>
      <c r="CL222" s="3">
        <f>ROUND(SUMIF(AA135:AA220,"=70322058",GZ135:GZ220),2)</f>
        <v>0</v>
      </c>
      <c r="CM222" s="3">
        <f>ROUND(SUMIF(AA135:AA220,"=70322058",HD135:HD220),2)</f>
        <v>0</v>
      </c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4">
        <f t="shared" ref="DG222:DL222" si="326">ROUND(DT222,2)</f>
        <v>11010118.869999999</v>
      </c>
      <c r="DH222" s="4">
        <f t="shared" si="326"/>
        <v>8463600.8900000006</v>
      </c>
      <c r="DI222" s="4">
        <f t="shared" si="326"/>
        <v>1671924.54</v>
      </c>
      <c r="DJ222" s="4">
        <f t="shared" si="326"/>
        <v>524365.93999999994</v>
      </c>
      <c r="DK222" s="4">
        <f t="shared" si="326"/>
        <v>874593.44</v>
      </c>
      <c r="DL222" s="4">
        <f t="shared" si="326"/>
        <v>0</v>
      </c>
      <c r="DM222" s="4">
        <f>DZ222</f>
        <v>1622.9368965599997</v>
      </c>
      <c r="DN222" s="4">
        <f>EA222</f>
        <v>0</v>
      </c>
      <c r="DO222" s="4">
        <f>ROUND(EB222,2)</f>
        <v>0</v>
      </c>
      <c r="DP222" s="4">
        <f>ROUND(EC222,2)</f>
        <v>1024421.14</v>
      </c>
      <c r="DQ222" s="4">
        <f>ROUND(ED222,2)</f>
        <v>446460.03</v>
      </c>
      <c r="DR222" s="4"/>
      <c r="DS222" s="4"/>
      <c r="DT222" s="4">
        <f>ROUND(SUMIF(AA135:AA220,"=70322059",O135:O220),2)</f>
        <v>11010118.869999999</v>
      </c>
      <c r="DU222" s="4">
        <f>ROUND(SUMIF(AA135:AA220,"=70322059",P135:P220),2)</f>
        <v>8463600.8900000006</v>
      </c>
      <c r="DV222" s="4">
        <f>ROUND(SUMIF(AA135:AA220,"=70322059",Q135:Q220),2)</f>
        <v>1671924.54</v>
      </c>
      <c r="DW222" s="4">
        <f>ROUND(SUMIF(AA135:AA220,"=70322059",R135:R220),2)</f>
        <v>524365.93999999994</v>
      </c>
      <c r="DX222" s="4">
        <f>ROUND(SUMIF(AA135:AA220,"=70322059",S135:S220),2)</f>
        <v>874593.44</v>
      </c>
      <c r="DY222" s="4">
        <f>ROUND(SUMIF(AA135:AA220,"=70322059",T135:T220),2)</f>
        <v>0</v>
      </c>
      <c r="DZ222" s="4">
        <f>SUMIF(AA135:AA220,"=70322059",U135:U220)</f>
        <v>1622.9368965599997</v>
      </c>
      <c r="EA222" s="4">
        <f>SUMIF(AA135:AA220,"=70322059",V135:V220)</f>
        <v>0</v>
      </c>
      <c r="EB222" s="4">
        <f>ROUND(SUMIF(AA135:AA220,"=70322059",W135:W220),2)</f>
        <v>0</v>
      </c>
      <c r="EC222" s="4">
        <f>ROUND(SUMIF(AA135:AA220,"=70322059",X135:X220),2)</f>
        <v>1024421.14</v>
      </c>
      <c r="ED222" s="4">
        <f>ROUND(SUMIF(AA135:AA220,"=70322059",Y135:Y220),2)</f>
        <v>446460.03</v>
      </c>
      <c r="EE222" s="4"/>
      <c r="EF222" s="4"/>
      <c r="EG222" s="4">
        <f t="shared" ref="EG222:EV222" si="327">ROUND(FP222,2)</f>
        <v>0</v>
      </c>
      <c r="EH222" s="4">
        <f t="shared" si="327"/>
        <v>0</v>
      </c>
      <c r="EI222" s="4">
        <f t="shared" si="327"/>
        <v>0</v>
      </c>
      <c r="EJ222" s="4">
        <f t="shared" si="327"/>
        <v>13319985.550000001</v>
      </c>
      <c r="EK222" s="4">
        <f t="shared" si="327"/>
        <v>13319985.550000001</v>
      </c>
      <c r="EL222" s="4">
        <f t="shared" si="327"/>
        <v>0</v>
      </c>
      <c r="EM222" s="4">
        <f t="shared" si="327"/>
        <v>0</v>
      </c>
      <c r="EN222" s="4">
        <f t="shared" si="327"/>
        <v>8463600.8900000006</v>
      </c>
      <c r="EO222" s="4">
        <f t="shared" si="327"/>
        <v>8463600.8900000006</v>
      </c>
      <c r="EP222" s="4">
        <f t="shared" si="327"/>
        <v>0</v>
      </c>
      <c r="EQ222" s="4">
        <f t="shared" si="327"/>
        <v>8463600.8900000006</v>
      </c>
      <c r="ER222" s="4">
        <f t="shared" si="327"/>
        <v>0</v>
      </c>
      <c r="ES222" s="4">
        <f t="shared" si="327"/>
        <v>0</v>
      </c>
      <c r="ET222" s="4">
        <f t="shared" si="327"/>
        <v>0</v>
      </c>
      <c r="EU222" s="4">
        <f t="shared" si="327"/>
        <v>0</v>
      </c>
      <c r="EV222" s="4">
        <f t="shared" si="327"/>
        <v>0</v>
      </c>
      <c r="EW222" s="4"/>
      <c r="EX222" s="4"/>
      <c r="EY222" s="4"/>
      <c r="EZ222" s="4"/>
      <c r="FA222" s="4"/>
      <c r="FB222" s="4"/>
      <c r="FC222" s="4"/>
      <c r="FD222" s="4"/>
      <c r="FE222" s="4"/>
      <c r="FF222" s="4"/>
      <c r="FG222" s="4"/>
      <c r="FH222" s="4"/>
      <c r="FI222" s="4"/>
      <c r="FJ222" s="4"/>
      <c r="FK222" s="4"/>
      <c r="FL222" s="4"/>
      <c r="FM222" s="4"/>
      <c r="FN222" s="4"/>
      <c r="FO222" s="4"/>
      <c r="FP222" s="4">
        <f>ROUND(SUMIF(AA135:AA220,"=70322059",FQ135:FQ220),2)</f>
        <v>0</v>
      </c>
      <c r="FQ222" s="4">
        <f>ROUND(SUMIF(AA135:AA220,"=70322059",FR135:FR220),2)</f>
        <v>0</v>
      </c>
      <c r="FR222" s="4">
        <f>ROUND(SUMIF(AA135:AA220,"=70322059",GL135:GL220),2)</f>
        <v>0</v>
      </c>
      <c r="FS222" s="4">
        <f>ROUND(SUMIF(AA135:AA220,"=70322059",GM135:GM220),2)</f>
        <v>13319985.550000001</v>
      </c>
      <c r="FT222" s="4">
        <f>ROUND(SUMIF(AA135:AA220,"=70322059",GN135:GN220),2)</f>
        <v>13319985.550000001</v>
      </c>
      <c r="FU222" s="4">
        <f>ROUND(SUMIF(AA135:AA220,"=70322059",GO135:GO220),2)</f>
        <v>0</v>
      </c>
      <c r="FV222" s="4">
        <f>ROUND(SUMIF(AA135:AA220,"=70322059",GP135:GP220),2)</f>
        <v>0</v>
      </c>
      <c r="FW222" s="4">
        <f>DU222-FP222</f>
        <v>8463600.8900000006</v>
      </c>
      <c r="FX222" s="4">
        <f>DU222-FQ222</f>
        <v>8463600.8900000006</v>
      </c>
      <c r="FY222" s="4">
        <f>FP222-FR222</f>
        <v>0</v>
      </c>
      <c r="FZ222" s="4">
        <f>DU222-FP222-FQ222+FR222</f>
        <v>8463600.8900000006</v>
      </c>
      <c r="GA222" s="4">
        <f>FQ222-FR222</f>
        <v>0</v>
      </c>
      <c r="GB222" s="4">
        <f>ROUND(SUMIF(AA135:AA220,"=70322059",GX135:GX220),2)</f>
        <v>0</v>
      </c>
      <c r="GC222" s="4">
        <f>ROUND(SUMIF(AA135:AA220,"=70322059",GY135:GY220),2)</f>
        <v>0</v>
      </c>
      <c r="GD222" s="4">
        <f>ROUND(SUMIF(AA135:AA220,"=70322059",GZ135:GZ220),2)</f>
        <v>0</v>
      </c>
      <c r="GE222" s="4">
        <f>ROUND(SUMIF(AA135:AA220,"=70322059",HD135:HD220),2)</f>
        <v>0</v>
      </c>
      <c r="GF222" s="4"/>
      <c r="GG222" s="4"/>
      <c r="GH222" s="4"/>
      <c r="GI222" s="4"/>
      <c r="GJ222" s="4"/>
      <c r="GK222" s="4"/>
      <c r="GL222" s="4"/>
      <c r="GM222" s="4"/>
      <c r="GN222" s="4"/>
      <c r="GO222" s="4"/>
      <c r="GP222" s="4"/>
      <c r="GQ222" s="4"/>
      <c r="GR222" s="4"/>
      <c r="GS222" s="4"/>
      <c r="GT222" s="4"/>
      <c r="GU222" s="4"/>
      <c r="GV222" s="4"/>
      <c r="GW222" s="4"/>
      <c r="GX222" s="4">
        <v>0</v>
      </c>
    </row>
    <row r="224" spans="1:255">
      <c r="A224" s="5">
        <v>50</v>
      </c>
      <c r="B224" s="5">
        <v>0</v>
      </c>
      <c r="C224" s="5">
        <v>0</v>
      </c>
      <c r="D224" s="5">
        <v>1</v>
      </c>
      <c r="E224" s="5">
        <v>201</v>
      </c>
      <c r="F224" s="5">
        <f>ROUND(Source!O222,O224)</f>
        <v>807864.34</v>
      </c>
      <c r="G224" s="5" t="s">
        <v>66</v>
      </c>
      <c r="H224" s="5" t="s">
        <v>67</v>
      </c>
      <c r="I224" s="5"/>
      <c r="J224" s="5"/>
      <c r="K224" s="5">
        <v>201</v>
      </c>
      <c r="L224" s="5">
        <v>1</v>
      </c>
      <c r="M224" s="5">
        <v>3</v>
      </c>
      <c r="N224" s="5" t="s">
        <v>6</v>
      </c>
      <c r="O224" s="5">
        <v>2</v>
      </c>
      <c r="P224" s="5">
        <f>ROUND(Source!DG222,O224)</f>
        <v>11010118.869999999</v>
      </c>
      <c r="Q224" s="5"/>
      <c r="R224" s="5"/>
      <c r="S224" s="5"/>
      <c r="T224" s="5"/>
      <c r="U224" s="5"/>
      <c r="V224" s="5"/>
      <c r="W224" s="5">
        <v>807864.34</v>
      </c>
      <c r="X224" s="5">
        <v>1</v>
      </c>
      <c r="Y224" s="5">
        <v>807864.34</v>
      </c>
      <c r="Z224" s="5">
        <v>11010118.869999999</v>
      </c>
      <c r="AA224" s="5">
        <v>1</v>
      </c>
      <c r="AB224" s="5">
        <v>11010118.869999999</v>
      </c>
    </row>
    <row r="225" spans="1:28">
      <c r="A225" s="5">
        <v>50</v>
      </c>
      <c r="B225" s="5">
        <v>0</v>
      </c>
      <c r="C225" s="5">
        <v>0</v>
      </c>
      <c r="D225" s="5">
        <v>1</v>
      </c>
      <c r="E225" s="5">
        <v>202</v>
      </c>
      <c r="F225" s="5">
        <f>ROUND(Source!P222,O225)</f>
        <v>665555.86</v>
      </c>
      <c r="G225" s="5" t="s">
        <v>68</v>
      </c>
      <c r="H225" s="5" t="s">
        <v>69</v>
      </c>
      <c r="I225" s="5"/>
      <c r="J225" s="5"/>
      <c r="K225" s="5">
        <v>202</v>
      </c>
      <c r="L225" s="5">
        <v>2</v>
      </c>
      <c r="M225" s="5">
        <v>3</v>
      </c>
      <c r="N225" s="5" t="s">
        <v>6</v>
      </c>
      <c r="O225" s="5">
        <v>2</v>
      </c>
      <c r="P225" s="5">
        <f>ROUND(Source!DH222,O225)</f>
        <v>8463600.8900000006</v>
      </c>
      <c r="Q225" s="5"/>
      <c r="R225" s="5"/>
      <c r="S225" s="5"/>
      <c r="T225" s="5"/>
      <c r="U225" s="5"/>
      <c r="V225" s="5"/>
      <c r="W225" s="5">
        <v>665555.86</v>
      </c>
      <c r="X225" s="5">
        <v>1</v>
      </c>
      <c r="Y225" s="5">
        <v>665555.86</v>
      </c>
      <c r="Z225" s="5">
        <v>8463600.8900000006</v>
      </c>
      <c r="AA225" s="5">
        <v>1</v>
      </c>
      <c r="AB225" s="5">
        <v>8463600.8900000006</v>
      </c>
    </row>
    <row r="226" spans="1:28">
      <c r="A226" s="5">
        <v>50</v>
      </c>
      <c r="B226" s="5">
        <v>0</v>
      </c>
      <c r="C226" s="5">
        <v>0</v>
      </c>
      <c r="D226" s="5">
        <v>1</v>
      </c>
      <c r="E226" s="5">
        <v>222</v>
      </c>
      <c r="F226" s="5">
        <f>ROUND(Source!AO222,O226)</f>
        <v>0</v>
      </c>
      <c r="G226" s="5" t="s">
        <v>70</v>
      </c>
      <c r="H226" s="5" t="s">
        <v>71</v>
      </c>
      <c r="I226" s="5"/>
      <c r="J226" s="5"/>
      <c r="K226" s="5">
        <v>222</v>
      </c>
      <c r="L226" s="5">
        <v>3</v>
      </c>
      <c r="M226" s="5">
        <v>3</v>
      </c>
      <c r="N226" s="5" t="s">
        <v>6</v>
      </c>
      <c r="O226" s="5">
        <v>2</v>
      </c>
      <c r="P226" s="5">
        <f>ROUND(Source!EG222,O226)</f>
        <v>0</v>
      </c>
      <c r="Q226" s="5"/>
      <c r="R226" s="5"/>
      <c r="S226" s="5"/>
      <c r="T226" s="5"/>
      <c r="U226" s="5"/>
      <c r="V226" s="5"/>
      <c r="W226" s="5">
        <v>0</v>
      </c>
      <c r="X226" s="5">
        <v>1</v>
      </c>
      <c r="Y226" s="5">
        <v>0</v>
      </c>
      <c r="Z226" s="5">
        <v>0</v>
      </c>
      <c r="AA226" s="5">
        <v>1</v>
      </c>
      <c r="AB226" s="5">
        <v>0</v>
      </c>
    </row>
    <row r="227" spans="1:28">
      <c r="A227" s="5">
        <v>50</v>
      </c>
      <c r="B227" s="5">
        <v>0</v>
      </c>
      <c r="C227" s="5">
        <v>0</v>
      </c>
      <c r="D227" s="5">
        <v>1</v>
      </c>
      <c r="E227" s="5">
        <v>225</v>
      </c>
      <c r="F227" s="5">
        <f>ROUND(Source!AV222,O227)</f>
        <v>665555.86</v>
      </c>
      <c r="G227" s="5" t="s">
        <v>72</v>
      </c>
      <c r="H227" s="5" t="s">
        <v>73</v>
      </c>
      <c r="I227" s="5"/>
      <c r="J227" s="5"/>
      <c r="K227" s="5">
        <v>225</v>
      </c>
      <c r="L227" s="5">
        <v>4</v>
      </c>
      <c r="M227" s="5">
        <v>3</v>
      </c>
      <c r="N227" s="5" t="s">
        <v>6</v>
      </c>
      <c r="O227" s="5">
        <v>2</v>
      </c>
      <c r="P227" s="5">
        <f>ROUND(Source!EN222,O227)</f>
        <v>8463600.8900000006</v>
      </c>
      <c r="Q227" s="5"/>
      <c r="R227" s="5"/>
      <c r="S227" s="5"/>
      <c r="T227" s="5"/>
      <c r="U227" s="5"/>
      <c r="V227" s="5"/>
      <c r="W227" s="5">
        <v>665555.86</v>
      </c>
      <c r="X227" s="5">
        <v>1</v>
      </c>
      <c r="Y227" s="5">
        <v>665555.86</v>
      </c>
      <c r="Z227" s="5">
        <v>8463600.8900000006</v>
      </c>
      <c r="AA227" s="5">
        <v>1</v>
      </c>
      <c r="AB227" s="5">
        <v>8463600.8900000006</v>
      </c>
    </row>
    <row r="228" spans="1:28">
      <c r="A228" s="5">
        <v>50</v>
      </c>
      <c r="B228" s="5">
        <v>0</v>
      </c>
      <c r="C228" s="5">
        <v>0</v>
      </c>
      <c r="D228" s="5">
        <v>1</v>
      </c>
      <c r="E228" s="5">
        <v>226</v>
      </c>
      <c r="F228" s="5">
        <f>ROUND(Source!AW222,O228)</f>
        <v>665555.86</v>
      </c>
      <c r="G228" s="5" t="s">
        <v>74</v>
      </c>
      <c r="H228" s="5" t="s">
        <v>75</v>
      </c>
      <c r="I228" s="5"/>
      <c r="J228" s="5"/>
      <c r="K228" s="5">
        <v>226</v>
      </c>
      <c r="L228" s="5">
        <v>5</v>
      </c>
      <c r="M228" s="5">
        <v>3</v>
      </c>
      <c r="N228" s="5" t="s">
        <v>6</v>
      </c>
      <c r="O228" s="5">
        <v>2</v>
      </c>
      <c r="P228" s="5">
        <f>ROUND(Source!EO222,O228)</f>
        <v>8463600.8900000006</v>
      </c>
      <c r="Q228" s="5"/>
      <c r="R228" s="5"/>
      <c r="S228" s="5"/>
      <c r="T228" s="5"/>
      <c r="U228" s="5"/>
      <c r="V228" s="5"/>
      <c r="W228" s="5">
        <v>665555.86</v>
      </c>
      <c r="X228" s="5">
        <v>1</v>
      </c>
      <c r="Y228" s="5">
        <v>665555.86</v>
      </c>
      <c r="Z228" s="5">
        <v>8463600.8900000006</v>
      </c>
      <c r="AA228" s="5">
        <v>1</v>
      </c>
      <c r="AB228" s="5">
        <v>8463600.8900000006</v>
      </c>
    </row>
    <row r="229" spans="1:28">
      <c r="A229" s="5">
        <v>50</v>
      </c>
      <c r="B229" s="5">
        <v>0</v>
      </c>
      <c r="C229" s="5">
        <v>0</v>
      </c>
      <c r="D229" s="5">
        <v>1</v>
      </c>
      <c r="E229" s="5">
        <v>227</v>
      </c>
      <c r="F229" s="5">
        <f>ROUND(Source!AX222,O229)</f>
        <v>0</v>
      </c>
      <c r="G229" s="5" t="s">
        <v>76</v>
      </c>
      <c r="H229" s="5" t="s">
        <v>77</v>
      </c>
      <c r="I229" s="5"/>
      <c r="J229" s="5"/>
      <c r="K229" s="5">
        <v>227</v>
      </c>
      <c r="L229" s="5">
        <v>6</v>
      </c>
      <c r="M229" s="5">
        <v>3</v>
      </c>
      <c r="N229" s="5" t="s">
        <v>6</v>
      </c>
      <c r="O229" s="5">
        <v>2</v>
      </c>
      <c r="P229" s="5">
        <f>ROUND(Source!EP222,O229)</f>
        <v>0</v>
      </c>
      <c r="Q229" s="5"/>
      <c r="R229" s="5"/>
      <c r="S229" s="5"/>
      <c r="T229" s="5"/>
      <c r="U229" s="5"/>
      <c r="V229" s="5"/>
      <c r="W229" s="5">
        <v>0</v>
      </c>
      <c r="X229" s="5">
        <v>1</v>
      </c>
      <c r="Y229" s="5">
        <v>0</v>
      </c>
      <c r="Z229" s="5">
        <v>0</v>
      </c>
      <c r="AA229" s="5">
        <v>1</v>
      </c>
      <c r="AB229" s="5">
        <v>0</v>
      </c>
    </row>
    <row r="230" spans="1:28">
      <c r="A230" s="5">
        <v>50</v>
      </c>
      <c r="B230" s="5">
        <v>0</v>
      </c>
      <c r="C230" s="5">
        <v>0</v>
      </c>
      <c r="D230" s="5">
        <v>1</v>
      </c>
      <c r="E230" s="5">
        <v>228</v>
      </c>
      <c r="F230" s="5">
        <f>ROUND(Source!AY222,O230)</f>
        <v>665555.86</v>
      </c>
      <c r="G230" s="5" t="s">
        <v>78</v>
      </c>
      <c r="H230" s="5" t="s">
        <v>79</v>
      </c>
      <c r="I230" s="5"/>
      <c r="J230" s="5"/>
      <c r="K230" s="5">
        <v>228</v>
      </c>
      <c r="L230" s="5">
        <v>7</v>
      </c>
      <c r="M230" s="5">
        <v>3</v>
      </c>
      <c r="N230" s="5" t="s">
        <v>6</v>
      </c>
      <c r="O230" s="5">
        <v>2</v>
      </c>
      <c r="P230" s="5">
        <f>ROUND(Source!EQ222,O230)</f>
        <v>8463600.8900000006</v>
      </c>
      <c r="Q230" s="5"/>
      <c r="R230" s="5"/>
      <c r="S230" s="5"/>
      <c r="T230" s="5"/>
      <c r="U230" s="5"/>
      <c r="V230" s="5"/>
      <c r="W230" s="5">
        <v>665555.86</v>
      </c>
      <c r="X230" s="5">
        <v>1</v>
      </c>
      <c r="Y230" s="5">
        <v>665555.86</v>
      </c>
      <c r="Z230" s="5">
        <v>8463600.8900000006</v>
      </c>
      <c r="AA230" s="5">
        <v>1</v>
      </c>
      <c r="AB230" s="5">
        <v>8463600.8900000006</v>
      </c>
    </row>
    <row r="231" spans="1:28">
      <c r="A231" s="5">
        <v>50</v>
      </c>
      <c r="B231" s="5">
        <v>0</v>
      </c>
      <c r="C231" s="5">
        <v>0</v>
      </c>
      <c r="D231" s="5">
        <v>1</v>
      </c>
      <c r="E231" s="5">
        <v>216</v>
      </c>
      <c r="F231" s="5">
        <f>ROUND(Source!AP222,O231)</f>
        <v>0</v>
      </c>
      <c r="G231" s="5" t="s">
        <v>80</v>
      </c>
      <c r="H231" s="5" t="s">
        <v>81</v>
      </c>
      <c r="I231" s="5"/>
      <c r="J231" s="5"/>
      <c r="K231" s="5">
        <v>216</v>
      </c>
      <c r="L231" s="5">
        <v>8</v>
      </c>
      <c r="M231" s="5">
        <v>3</v>
      </c>
      <c r="N231" s="5" t="s">
        <v>6</v>
      </c>
      <c r="O231" s="5">
        <v>2</v>
      </c>
      <c r="P231" s="5">
        <f>ROUND(Source!EH222,O231)</f>
        <v>0</v>
      </c>
      <c r="Q231" s="5"/>
      <c r="R231" s="5"/>
      <c r="S231" s="5"/>
      <c r="T231" s="5"/>
      <c r="U231" s="5"/>
      <c r="V231" s="5"/>
      <c r="W231" s="5">
        <v>0</v>
      </c>
      <c r="X231" s="5">
        <v>1</v>
      </c>
      <c r="Y231" s="5">
        <v>0</v>
      </c>
      <c r="Z231" s="5">
        <v>0</v>
      </c>
      <c r="AA231" s="5">
        <v>1</v>
      </c>
      <c r="AB231" s="5">
        <v>0</v>
      </c>
    </row>
    <row r="232" spans="1:28">
      <c r="A232" s="5">
        <v>50</v>
      </c>
      <c r="B232" s="5">
        <v>0</v>
      </c>
      <c r="C232" s="5">
        <v>0</v>
      </c>
      <c r="D232" s="5">
        <v>1</v>
      </c>
      <c r="E232" s="5">
        <v>223</v>
      </c>
      <c r="F232" s="5">
        <f>ROUND(Source!AQ222,O232)</f>
        <v>0</v>
      </c>
      <c r="G232" s="5" t="s">
        <v>82</v>
      </c>
      <c r="H232" s="5" t="s">
        <v>83</v>
      </c>
      <c r="I232" s="5"/>
      <c r="J232" s="5"/>
      <c r="K232" s="5">
        <v>223</v>
      </c>
      <c r="L232" s="5">
        <v>9</v>
      </c>
      <c r="M232" s="5">
        <v>3</v>
      </c>
      <c r="N232" s="5" t="s">
        <v>6</v>
      </c>
      <c r="O232" s="5">
        <v>2</v>
      </c>
      <c r="P232" s="5">
        <f>ROUND(Source!EI222,O232)</f>
        <v>0</v>
      </c>
      <c r="Q232" s="5"/>
      <c r="R232" s="5"/>
      <c r="S232" s="5"/>
      <c r="T232" s="5"/>
      <c r="U232" s="5"/>
      <c r="V232" s="5"/>
      <c r="W232" s="5">
        <v>0</v>
      </c>
      <c r="X232" s="5">
        <v>1</v>
      </c>
      <c r="Y232" s="5">
        <v>0</v>
      </c>
      <c r="Z232" s="5">
        <v>0</v>
      </c>
      <c r="AA232" s="5">
        <v>1</v>
      </c>
      <c r="AB232" s="5">
        <v>0</v>
      </c>
    </row>
    <row r="233" spans="1:28">
      <c r="A233" s="5">
        <v>50</v>
      </c>
      <c r="B233" s="5">
        <v>0</v>
      </c>
      <c r="C233" s="5">
        <v>0</v>
      </c>
      <c r="D233" s="5">
        <v>1</v>
      </c>
      <c r="E233" s="5">
        <v>229</v>
      </c>
      <c r="F233" s="5">
        <f>ROUND(Source!AZ222,O233)</f>
        <v>0</v>
      </c>
      <c r="G233" s="5" t="s">
        <v>84</v>
      </c>
      <c r="H233" s="5" t="s">
        <v>85</v>
      </c>
      <c r="I233" s="5"/>
      <c r="J233" s="5"/>
      <c r="K233" s="5">
        <v>229</v>
      </c>
      <c r="L233" s="5">
        <v>10</v>
      </c>
      <c r="M233" s="5">
        <v>3</v>
      </c>
      <c r="N233" s="5" t="s">
        <v>6</v>
      </c>
      <c r="O233" s="5">
        <v>2</v>
      </c>
      <c r="P233" s="5">
        <f>ROUND(Source!ER222,O233)</f>
        <v>0</v>
      </c>
      <c r="Q233" s="5"/>
      <c r="R233" s="5"/>
      <c r="S233" s="5"/>
      <c r="T233" s="5"/>
      <c r="U233" s="5"/>
      <c r="V233" s="5"/>
      <c r="W233" s="5">
        <v>0</v>
      </c>
      <c r="X233" s="5">
        <v>1</v>
      </c>
      <c r="Y233" s="5">
        <v>0</v>
      </c>
      <c r="Z233" s="5">
        <v>0</v>
      </c>
      <c r="AA233" s="5">
        <v>1</v>
      </c>
      <c r="AB233" s="5">
        <v>0</v>
      </c>
    </row>
    <row r="234" spans="1:28">
      <c r="A234" s="5">
        <v>50</v>
      </c>
      <c r="B234" s="5">
        <v>0</v>
      </c>
      <c r="C234" s="5">
        <v>0</v>
      </c>
      <c r="D234" s="5">
        <v>1</v>
      </c>
      <c r="E234" s="5">
        <v>203</v>
      </c>
      <c r="F234" s="5">
        <f>ROUND(Source!Q222,O234)</f>
        <v>123568.53</v>
      </c>
      <c r="G234" s="5" t="s">
        <v>86</v>
      </c>
      <c r="H234" s="5" t="s">
        <v>87</v>
      </c>
      <c r="I234" s="5"/>
      <c r="J234" s="5"/>
      <c r="K234" s="5">
        <v>203</v>
      </c>
      <c r="L234" s="5">
        <v>11</v>
      </c>
      <c r="M234" s="5">
        <v>3</v>
      </c>
      <c r="N234" s="5" t="s">
        <v>6</v>
      </c>
      <c r="O234" s="5">
        <v>2</v>
      </c>
      <c r="P234" s="5">
        <f>ROUND(Source!DI222,O234)</f>
        <v>1671924.54</v>
      </c>
      <c r="Q234" s="5"/>
      <c r="R234" s="5"/>
      <c r="S234" s="5"/>
      <c r="T234" s="5"/>
      <c r="U234" s="5"/>
      <c r="V234" s="5"/>
      <c r="W234" s="5">
        <v>123568.53</v>
      </c>
      <c r="X234" s="5">
        <v>1</v>
      </c>
      <c r="Y234" s="5">
        <v>123568.53</v>
      </c>
      <c r="Z234" s="5">
        <v>1671924.54</v>
      </c>
      <c r="AA234" s="5">
        <v>1</v>
      </c>
      <c r="AB234" s="5">
        <v>1671924.54</v>
      </c>
    </row>
    <row r="235" spans="1:28">
      <c r="A235" s="5">
        <v>50</v>
      </c>
      <c r="B235" s="5">
        <v>0</v>
      </c>
      <c r="C235" s="5">
        <v>0</v>
      </c>
      <c r="D235" s="5">
        <v>1</v>
      </c>
      <c r="E235" s="5">
        <v>231</v>
      </c>
      <c r="F235" s="5">
        <f>ROUND(Source!BB222,O235)</f>
        <v>0</v>
      </c>
      <c r="G235" s="5" t="s">
        <v>88</v>
      </c>
      <c r="H235" s="5" t="s">
        <v>89</v>
      </c>
      <c r="I235" s="5"/>
      <c r="J235" s="5"/>
      <c r="K235" s="5">
        <v>231</v>
      </c>
      <c r="L235" s="5">
        <v>12</v>
      </c>
      <c r="M235" s="5">
        <v>3</v>
      </c>
      <c r="N235" s="5" t="s">
        <v>6</v>
      </c>
      <c r="O235" s="5">
        <v>2</v>
      </c>
      <c r="P235" s="5">
        <f>ROUND(Source!ET222,O235)</f>
        <v>0</v>
      </c>
      <c r="Q235" s="5"/>
      <c r="R235" s="5"/>
      <c r="S235" s="5"/>
      <c r="T235" s="5"/>
      <c r="U235" s="5"/>
      <c r="V235" s="5"/>
      <c r="W235" s="5">
        <v>0</v>
      </c>
      <c r="X235" s="5">
        <v>1</v>
      </c>
      <c r="Y235" s="5">
        <v>0</v>
      </c>
      <c r="Z235" s="5">
        <v>0</v>
      </c>
      <c r="AA235" s="5">
        <v>1</v>
      </c>
      <c r="AB235" s="5">
        <v>0</v>
      </c>
    </row>
    <row r="236" spans="1:28">
      <c r="A236" s="5">
        <v>50</v>
      </c>
      <c r="B236" s="5">
        <v>0</v>
      </c>
      <c r="C236" s="5">
        <v>0</v>
      </c>
      <c r="D236" s="5">
        <v>1</v>
      </c>
      <c r="E236" s="5">
        <v>204</v>
      </c>
      <c r="F236" s="5">
        <f>ROUND(Source!R222,O236)</f>
        <v>11235.61</v>
      </c>
      <c r="G236" s="5" t="s">
        <v>90</v>
      </c>
      <c r="H236" s="5" t="s">
        <v>91</v>
      </c>
      <c r="I236" s="5"/>
      <c r="J236" s="5"/>
      <c r="K236" s="5">
        <v>204</v>
      </c>
      <c r="L236" s="5">
        <v>13</v>
      </c>
      <c r="M236" s="5">
        <v>3</v>
      </c>
      <c r="N236" s="5" t="s">
        <v>6</v>
      </c>
      <c r="O236" s="5">
        <v>2</v>
      </c>
      <c r="P236" s="5">
        <f>ROUND(Source!DJ222,O236)</f>
        <v>524365.93999999994</v>
      </c>
      <c r="Q236" s="5"/>
      <c r="R236" s="5"/>
      <c r="S236" s="5"/>
      <c r="T236" s="5"/>
      <c r="U236" s="5"/>
      <c r="V236" s="5"/>
      <c r="W236" s="5">
        <v>11235.61</v>
      </c>
      <c r="X236" s="5">
        <v>1</v>
      </c>
      <c r="Y236" s="5">
        <v>11235.61</v>
      </c>
      <c r="Z236" s="5">
        <v>524365.93999999994</v>
      </c>
      <c r="AA236" s="5">
        <v>1</v>
      </c>
      <c r="AB236" s="5">
        <v>524365.93999999994</v>
      </c>
    </row>
    <row r="237" spans="1:28">
      <c r="A237" s="5">
        <v>50</v>
      </c>
      <c r="B237" s="5">
        <v>0</v>
      </c>
      <c r="C237" s="5">
        <v>0</v>
      </c>
      <c r="D237" s="5">
        <v>1</v>
      </c>
      <c r="E237" s="5">
        <v>205</v>
      </c>
      <c r="F237" s="5">
        <f>ROUND(Source!S222,O237)</f>
        <v>18739.95</v>
      </c>
      <c r="G237" s="5" t="s">
        <v>92</v>
      </c>
      <c r="H237" s="5" t="s">
        <v>93</v>
      </c>
      <c r="I237" s="5"/>
      <c r="J237" s="5"/>
      <c r="K237" s="5">
        <v>205</v>
      </c>
      <c r="L237" s="5">
        <v>14</v>
      </c>
      <c r="M237" s="5">
        <v>3</v>
      </c>
      <c r="N237" s="5" t="s">
        <v>6</v>
      </c>
      <c r="O237" s="5">
        <v>2</v>
      </c>
      <c r="P237" s="5">
        <f>ROUND(Source!DK222,O237)</f>
        <v>874593.44</v>
      </c>
      <c r="Q237" s="5"/>
      <c r="R237" s="5"/>
      <c r="S237" s="5"/>
      <c r="T237" s="5"/>
      <c r="U237" s="5"/>
      <c r="V237" s="5"/>
      <c r="W237" s="5">
        <v>18739.95</v>
      </c>
      <c r="X237" s="5">
        <v>1</v>
      </c>
      <c r="Y237" s="5">
        <v>18739.95</v>
      </c>
      <c r="Z237" s="5">
        <v>874593.44</v>
      </c>
      <c r="AA237" s="5">
        <v>1</v>
      </c>
      <c r="AB237" s="5">
        <v>874593.44</v>
      </c>
    </row>
    <row r="238" spans="1:28">
      <c r="A238" s="5">
        <v>50</v>
      </c>
      <c r="B238" s="5">
        <v>0</v>
      </c>
      <c r="C238" s="5">
        <v>0</v>
      </c>
      <c r="D238" s="5">
        <v>1</v>
      </c>
      <c r="E238" s="5">
        <v>232</v>
      </c>
      <c r="F238" s="5">
        <f>ROUND(Source!BC222,O238)</f>
        <v>0</v>
      </c>
      <c r="G238" s="5" t="s">
        <v>94</v>
      </c>
      <c r="H238" s="5" t="s">
        <v>95</v>
      </c>
      <c r="I238" s="5"/>
      <c r="J238" s="5"/>
      <c r="K238" s="5">
        <v>232</v>
      </c>
      <c r="L238" s="5">
        <v>15</v>
      </c>
      <c r="M238" s="5">
        <v>3</v>
      </c>
      <c r="N238" s="5" t="s">
        <v>6</v>
      </c>
      <c r="O238" s="5">
        <v>2</v>
      </c>
      <c r="P238" s="5">
        <f>ROUND(Source!EU222,O238)</f>
        <v>0</v>
      </c>
      <c r="Q238" s="5"/>
      <c r="R238" s="5"/>
      <c r="S238" s="5"/>
      <c r="T238" s="5"/>
      <c r="U238" s="5"/>
      <c r="V238" s="5"/>
      <c r="W238" s="5">
        <v>0</v>
      </c>
      <c r="X238" s="5">
        <v>1</v>
      </c>
      <c r="Y238" s="5">
        <v>0</v>
      </c>
      <c r="Z238" s="5">
        <v>0</v>
      </c>
      <c r="AA238" s="5">
        <v>1</v>
      </c>
      <c r="AB238" s="5">
        <v>0</v>
      </c>
    </row>
    <row r="239" spans="1:28">
      <c r="A239" s="5">
        <v>50</v>
      </c>
      <c r="B239" s="5">
        <v>0</v>
      </c>
      <c r="C239" s="5">
        <v>0</v>
      </c>
      <c r="D239" s="5">
        <v>1</v>
      </c>
      <c r="E239" s="5">
        <v>214</v>
      </c>
      <c r="F239" s="5">
        <f>ROUND(Source!AS222,O239)</f>
        <v>871132.83</v>
      </c>
      <c r="G239" s="5" t="s">
        <v>96</v>
      </c>
      <c r="H239" s="5" t="s">
        <v>97</v>
      </c>
      <c r="I239" s="5"/>
      <c r="J239" s="5"/>
      <c r="K239" s="5">
        <v>214</v>
      </c>
      <c r="L239" s="5">
        <v>16</v>
      </c>
      <c r="M239" s="5">
        <v>3</v>
      </c>
      <c r="N239" s="5" t="s">
        <v>6</v>
      </c>
      <c r="O239" s="5">
        <v>2</v>
      </c>
      <c r="P239" s="5">
        <f>ROUND(Source!EK222,O239)</f>
        <v>13319985.550000001</v>
      </c>
      <c r="Q239" s="5"/>
      <c r="R239" s="5"/>
      <c r="S239" s="5"/>
      <c r="T239" s="5"/>
      <c r="U239" s="5"/>
      <c r="V239" s="5"/>
      <c r="W239" s="5">
        <v>871132.83</v>
      </c>
      <c r="X239" s="5">
        <v>1</v>
      </c>
      <c r="Y239" s="5">
        <v>871132.83</v>
      </c>
      <c r="Z239" s="5">
        <v>13319985.550000001</v>
      </c>
      <c r="AA239" s="5">
        <v>1</v>
      </c>
      <c r="AB239" s="5">
        <v>13319985.550000001</v>
      </c>
    </row>
    <row r="240" spans="1:28">
      <c r="A240" s="5">
        <v>50</v>
      </c>
      <c r="B240" s="5">
        <v>0</v>
      </c>
      <c r="C240" s="5">
        <v>0</v>
      </c>
      <c r="D240" s="5">
        <v>1</v>
      </c>
      <c r="E240" s="5">
        <v>215</v>
      </c>
      <c r="F240" s="5">
        <f>ROUND(Source!AT222,O240)</f>
        <v>0</v>
      </c>
      <c r="G240" s="5" t="s">
        <v>98</v>
      </c>
      <c r="H240" s="5" t="s">
        <v>99</v>
      </c>
      <c r="I240" s="5"/>
      <c r="J240" s="5"/>
      <c r="K240" s="5">
        <v>215</v>
      </c>
      <c r="L240" s="5">
        <v>17</v>
      </c>
      <c r="M240" s="5">
        <v>3</v>
      </c>
      <c r="N240" s="5" t="s">
        <v>6</v>
      </c>
      <c r="O240" s="5">
        <v>2</v>
      </c>
      <c r="P240" s="5">
        <f>ROUND(Source!EL222,O240)</f>
        <v>0</v>
      </c>
      <c r="Q240" s="5"/>
      <c r="R240" s="5"/>
      <c r="S240" s="5"/>
      <c r="T240" s="5"/>
      <c r="U240" s="5"/>
      <c r="V240" s="5"/>
      <c r="W240" s="5">
        <v>0</v>
      </c>
      <c r="X240" s="5">
        <v>1</v>
      </c>
      <c r="Y240" s="5">
        <v>0</v>
      </c>
      <c r="Z240" s="5">
        <v>0</v>
      </c>
      <c r="AA240" s="5">
        <v>1</v>
      </c>
      <c r="AB240" s="5">
        <v>0</v>
      </c>
    </row>
    <row r="241" spans="1:206">
      <c r="A241" s="5">
        <v>50</v>
      </c>
      <c r="B241" s="5">
        <v>0</v>
      </c>
      <c r="C241" s="5">
        <v>0</v>
      </c>
      <c r="D241" s="5">
        <v>1</v>
      </c>
      <c r="E241" s="5">
        <v>217</v>
      </c>
      <c r="F241" s="5">
        <f>ROUND(Source!AU222,O241)</f>
        <v>0</v>
      </c>
      <c r="G241" s="5" t="s">
        <v>100</v>
      </c>
      <c r="H241" s="5" t="s">
        <v>101</v>
      </c>
      <c r="I241" s="5"/>
      <c r="J241" s="5"/>
      <c r="K241" s="5">
        <v>217</v>
      </c>
      <c r="L241" s="5">
        <v>18</v>
      </c>
      <c r="M241" s="5">
        <v>3</v>
      </c>
      <c r="N241" s="5" t="s">
        <v>6</v>
      </c>
      <c r="O241" s="5">
        <v>2</v>
      </c>
      <c r="P241" s="5">
        <f>ROUND(Source!EM222,O241)</f>
        <v>0</v>
      </c>
      <c r="Q241" s="5"/>
      <c r="R241" s="5"/>
      <c r="S241" s="5"/>
      <c r="T241" s="5"/>
      <c r="U241" s="5"/>
      <c r="V241" s="5"/>
      <c r="W241" s="5">
        <v>0</v>
      </c>
      <c r="X241" s="5">
        <v>1</v>
      </c>
      <c r="Y241" s="5">
        <v>0</v>
      </c>
      <c r="Z241" s="5">
        <v>0</v>
      </c>
      <c r="AA241" s="5">
        <v>1</v>
      </c>
      <c r="AB241" s="5">
        <v>0</v>
      </c>
    </row>
    <row r="242" spans="1:206">
      <c r="A242" s="5">
        <v>50</v>
      </c>
      <c r="B242" s="5">
        <v>0</v>
      </c>
      <c r="C242" s="5">
        <v>0</v>
      </c>
      <c r="D242" s="5">
        <v>1</v>
      </c>
      <c r="E242" s="5">
        <v>230</v>
      </c>
      <c r="F242" s="5">
        <f>ROUND(Source!BA222,O242)</f>
        <v>0</v>
      </c>
      <c r="G242" s="5" t="s">
        <v>102</v>
      </c>
      <c r="H242" s="5" t="s">
        <v>103</v>
      </c>
      <c r="I242" s="5"/>
      <c r="J242" s="5"/>
      <c r="K242" s="5">
        <v>230</v>
      </c>
      <c r="L242" s="5">
        <v>19</v>
      </c>
      <c r="M242" s="5">
        <v>3</v>
      </c>
      <c r="N242" s="5" t="s">
        <v>6</v>
      </c>
      <c r="O242" s="5">
        <v>2</v>
      </c>
      <c r="P242" s="5">
        <f>ROUND(Source!ES222,O242)</f>
        <v>0</v>
      </c>
      <c r="Q242" s="5"/>
      <c r="R242" s="5"/>
      <c r="S242" s="5"/>
      <c r="T242" s="5"/>
      <c r="U242" s="5"/>
      <c r="V242" s="5"/>
      <c r="W242" s="5">
        <v>0</v>
      </c>
      <c r="X242" s="5">
        <v>1</v>
      </c>
      <c r="Y242" s="5">
        <v>0</v>
      </c>
      <c r="Z242" s="5">
        <v>0</v>
      </c>
      <c r="AA242" s="5">
        <v>1</v>
      </c>
      <c r="AB242" s="5">
        <v>0</v>
      </c>
    </row>
    <row r="243" spans="1:206">
      <c r="A243" s="5">
        <v>50</v>
      </c>
      <c r="B243" s="5">
        <v>0</v>
      </c>
      <c r="C243" s="5">
        <v>0</v>
      </c>
      <c r="D243" s="5">
        <v>1</v>
      </c>
      <c r="E243" s="5">
        <v>206</v>
      </c>
      <c r="F243" s="5">
        <f>ROUND(Source!T222,O243)</f>
        <v>0</v>
      </c>
      <c r="G243" s="5" t="s">
        <v>104</v>
      </c>
      <c r="H243" s="5" t="s">
        <v>105</v>
      </c>
      <c r="I243" s="5"/>
      <c r="J243" s="5"/>
      <c r="K243" s="5">
        <v>206</v>
      </c>
      <c r="L243" s="5">
        <v>20</v>
      </c>
      <c r="M243" s="5">
        <v>3</v>
      </c>
      <c r="N243" s="5" t="s">
        <v>6</v>
      </c>
      <c r="O243" s="5">
        <v>2</v>
      </c>
      <c r="P243" s="5">
        <f>ROUND(Source!DL222,O243)</f>
        <v>0</v>
      </c>
      <c r="Q243" s="5"/>
      <c r="R243" s="5"/>
      <c r="S243" s="5"/>
      <c r="T243" s="5"/>
      <c r="U243" s="5"/>
      <c r="V243" s="5"/>
      <c r="W243" s="5">
        <v>0</v>
      </c>
      <c r="X243" s="5">
        <v>1</v>
      </c>
      <c r="Y243" s="5">
        <v>0</v>
      </c>
      <c r="Z243" s="5">
        <v>0</v>
      </c>
      <c r="AA243" s="5">
        <v>1</v>
      </c>
      <c r="AB243" s="5">
        <v>0</v>
      </c>
    </row>
    <row r="244" spans="1:206">
      <c r="A244" s="5">
        <v>50</v>
      </c>
      <c r="B244" s="5">
        <v>0</v>
      </c>
      <c r="C244" s="5">
        <v>0</v>
      </c>
      <c r="D244" s="5">
        <v>1</v>
      </c>
      <c r="E244" s="5">
        <v>207</v>
      </c>
      <c r="F244" s="5">
        <f>Source!U222</f>
        <v>1622.9368965599997</v>
      </c>
      <c r="G244" s="5" t="s">
        <v>106</v>
      </c>
      <c r="H244" s="5" t="s">
        <v>107</v>
      </c>
      <c r="I244" s="5"/>
      <c r="J244" s="5"/>
      <c r="K244" s="5">
        <v>207</v>
      </c>
      <c r="L244" s="5">
        <v>21</v>
      </c>
      <c r="M244" s="5">
        <v>3</v>
      </c>
      <c r="N244" s="5" t="s">
        <v>6</v>
      </c>
      <c r="O244" s="5">
        <v>-1</v>
      </c>
      <c r="P244" s="5">
        <f>Source!DM222</f>
        <v>1622.9368965599997</v>
      </c>
      <c r="Q244" s="5"/>
      <c r="R244" s="5"/>
      <c r="S244" s="5"/>
      <c r="T244" s="5"/>
      <c r="U244" s="5"/>
      <c r="V244" s="5"/>
      <c r="W244" s="5">
        <v>1622.9368965600002</v>
      </c>
      <c r="X244" s="5">
        <v>1</v>
      </c>
      <c r="Y244" s="5">
        <v>1622.9368965600002</v>
      </c>
      <c r="Z244" s="5">
        <v>1622.9368965600002</v>
      </c>
      <c r="AA244" s="5">
        <v>1</v>
      </c>
      <c r="AB244" s="5">
        <v>1622.9368965600002</v>
      </c>
    </row>
    <row r="245" spans="1:206">
      <c r="A245" s="5">
        <v>50</v>
      </c>
      <c r="B245" s="5">
        <v>0</v>
      </c>
      <c r="C245" s="5">
        <v>0</v>
      </c>
      <c r="D245" s="5">
        <v>1</v>
      </c>
      <c r="E245" s="5">
        <v>208</v>
      </c>
      <c r="F245" s="5">
        <f>Source!V222</f>
        <v>0</v>
      </c>
      <c r="G245" s="5" t="s">
        <v>108</v>
      </c>
      <c r="H245" s="5" t="s">
        <v>109</v>
      </c>
      <c r="I245" s="5"/>
      <c r="J245" s="5"/>
      <c r="K245" s="5">
        <v>208</v>
      </c>
      <c r="L245" s="5">
        <v>22</v>
      </c>
      <c r="M245" s="5">
        <v>3</v>
      </c>
      <c r="N245" s="5" t="s">
        <v>6</v>
      </c>
      <c r="O245" s="5">
        <v>-1</v>
      </c>
      <c r="P245" s="5">
        <f>Source!DN222</f>
        <v>0</v>
      </c>
      <c r="Q245" s="5"/>
      <c r="R245" s="5"/>
      <c r="S245" s="5"/>
      <c r="T245" s="5"/>
      <c r="U245" s="5"/>
      <c r="V245" s="5"/>
      <c r="W245" s="5">
        <v>0</v>
      </c>
      <c r="X245" s="5">
        <v>1</v>
      </c>
      <c r="Y245" s="5">
        <v>0</v>
      </c>
      <c r="Z245" s="5">
        <v>0</v>
      </c>
      <c r="AA245" s="5">
        <v>1</v>
      </c>
      <c r="AB245" s="5">
        <v>0</v>
      </c>
    </row>
    <row r="246" spans="1:206">
      <c r="A246" s="5">
        <v>50</v>
      </c>
      <c r="B246" s="5">
        <v>0</v>
      </c>
      <c r="C246" s="5">
        <v>0</v>
      </c>
      <c r="D246" s="5">
        <v>1</v>
      </c>
      <c r="E246" s="5">
        <v>209</v>
      </c>
      <c r="F246" s="5">
        <f>ROUND(Source!W222,O246)</f>
        <v>0</v>
      </c>
      <c r="G246" s="5" t="s">
        <v>110</v>
      </c>
      <c r="H246" s="5" t="s">
        <v>111</v>
      </c>
      <c r="I246" s="5"/>
      <c r="J246" s="5"/>
      <c r="K246" s="5">
        <v>209</v>
      </c>
      <c r="L246" s="5">
        <v>23</v>
      </c>
      <c r="M246" s="5">
        <v>3</v>
      </c>
      <c r="N246" s="5" t="s">
        <v>6</v>
      </c>
      <c r="O246" s="5">
        <v>2</v>
      </c>
      <c r="P246" s="5">
        <f>ROUND(Source!DO222,O246)</f>
        <v>0</v>
      </c>
      <c r="Q246" s="5"/>
      <c r="R246" s="5"/>
      <c r="S246" s="5"/>
      <c r="T246" s="5"/>
      <c r="U246" s="5"/>
      <c r="V246" s="5"/>
      <c r="W246" s="5">
        <v>0</v>
      </c>
      <c r="X246" s="5">
        <v>1</v>
      </c>
      <c r="Y246" s="5">
        <v>0</v>
      </c>
      <c r="Z246" s="5">
        <v>0</v>
      </c>
      <c r="AA246" s="5">
        <v>1</v>
      </c>
      <c r="AB246" s="5">
        <v>0</v>
      </c>
    </row>
    <row r="247" spans="1:206">
      <c r="A247" s="5">
        <v>50</v>
      </c>
      <c r="B247" s="5">
        <v>0</v>
      </c>
      <c r="C247" s="5">
        <v>0</v>
      </c>
      <c r="D247" s="5">
        <v>1</v>
      </c>
      <c r="E247" s="5">
        <v>233</v>
      </c>
      <c r="F247" s="5">
        <f>ROUND(Source!BD222,O247)</f>
        <v>0</v>
      </c>
      <c r="G247" s="5" t="s">
        <v>112</v>
      </c>
      <c r="H247" s="5" t="s">
        <v>113</v>
      </c>
      <c r="I247" s="5"/>
      <c r="J247" s="5"/>
      <c r="K247" s="5">
        <v>233</v>
      </c>
      <c r="L247" s="5">
        <v>24</v>
      </c>
      <c r="M247" s="5">
        <v>3</v>
      </c>
      <c r="N247" s="5" t="s">
        <v>6</v>
      </c>
      <c r="O247" s="5">
        <v>2</v>
      </c>
      <c r="P247" s="5">
        <f>ROUND(Source!EV222,O247)</f>
        <v>0</v>
      </c>
      <c r="Q247" s="5"/>
      <c r="R247" s="5"/>
      <c r="S247" s="5"/>
      <c r="T247" s="5"/>
      <c r="U247" s="5"/>
      <c r="V247" s="5"/>
      <c r="W247" s="5">
        <v>0</v>
      </c>
      <c r="X247" s="5">
        <v>1</v>
      </c>
      <c r="Y247" s="5">
        <v>0</v>
      </c>
      <c r="Z247" s="5">
        <v>0</v>
      </c>
      <c r="AA247" s="5">
        <v>1</v>
      </c>
      <c r="AB247" s="5">
        <v>0</v>
      </c>
    </row>
    <row r="248" spans="1:206">
      <c r="A248" s="5">
        <v>50</v>
      </c>
      <c r="B248" s="5">
        <v>0</v>
      </c>
      <c r="C248" s="5">
        <v>0</v>
      </c>
      <c r="D248" s="5">
        <v>1</v>
      </c>
      <c r="E248" s="5">
        <v>210</v>
      </c>
      <c r="F248" s="5">
        <f>ROUND(Source!X222,O248)</f>
        <v>26185.599999999999</v>
      </c>
      <c r="G248" s="5" t="s">
        <v>114</v>
      </c>
      <c r="H248" s="5" t="s">
        <v>115</v>
      </c>
      <c r="I248" s="5"/>
      <c r="J248" s="5"/>
      <c r="K248" s="5">
        <v>210</v>
      </c>
      <c r="L248" s="5">
        <v>25</v>
      </c>
      <c r="M248" s="5">
        <v>3</v>
      </c>
      <c r="N248" s="5" t="s">
        <v>6</v>
      </c>
      <c r="O248" s="5">
        <v>2</v>
      </c>
      <c r="P248" s="5">
        <f>ROUND(Source!DP222,O248)</f>
        <v>1024421.14</v>
      </c>
      <c r="Q248" s="5"/>
      <c r="R248" s="5"/>
      <c r="S248" s="5"/>
      <c r="T248" s="5"/>
      <c r="U248" s="5"/>
      <c r="V248" s="5"/>
      <c r="W248" s="5">
        <v>26185.599999999999</v>
      </c>
      <c r="X248" s="5">
        <v>1</v>
      </c>
      <c r="Y248" s="5">
        <v>26185.599999999999</v>
      </c>
      <c r="Z248" s="5">
        <v>1024421.14</v>
      </c>
      <c r="AA248" s="5">
        <v>1</v>
      </c>
      <c r="AB248" s="5">
        <v>1024421.14</v>
      </c>
    </row>
    <row r="249" spans="1:206">
      <c r="A249" s="5">
        <v>50</v>
      </c>
      <c r="B249" s="5">
        <v>0</v>
      </c>
      <c r="C249" s="5">
        <v>0</v>
      </c>
      <c r="D249" s="5">
        <v>1</v>
      </c>
      <c r="E249" s="5">
        <v>211</v>
      </c>
      <c r="F249" s="5">
        <f>ROUND(Source!Y222,O249)</f>
        <v>17420.54</v>
      </c>
      <c r="G249" s="5" t="s">
        <v>116</v>
      </c>
      <c r="H249" s="5" t="s">
        <v>117</v>
      </c>
      <c r="I249" s="5"/>
      <c r="J249" s="5"/>
      <c r="K249" s="5">
        <v>211</v>
      </c>
      <c r="L249" s="5">
        <v>26</v>
      </c>
      <c r="M249" s="5">
        <v>3</v>
      </c>
      <c r="N249" s="5" t="s">
        <v>6</v>
      </c>
      <c r="O249" s="5">
        <v>2</v>
      </c>
      <c r="P249" s="5">
        <f>ROUND(Source!DQ222,O249)</f>
        <v>446460.03</v>
      </c>
      <c r="Q249" s="5"/>
      <c r="R249" s="5"/>
      <c r="S249" s="5"/>
      <c r="T249" s="5"/>
      <c r="U249" s="5"/>
      <c r="V249" s="5"/>
      <c r="W249" s="5">
        <v>17420.54</v>
      </c>
      <c r="X249" s="5">
        <v>1</v>
      </c>
      <c r="Y249" s="5">
        <v>17420.54</v>
      </c>
      <c r="Z249" s="5">
        <v>446460.03</v>
      </c>
      <c r="AA249" s="5">
        <v>1</v>
      </c>
      <c r="AB249" s="5">
        <v>446460.03</v>
      </c>
    </row>
    <row r="250" spans="1:206">
      <c r="A250" s="5">
        <v>50</v>
      </c>
      <c r="B250" s="5">
        <v>0</v>
      </c>
      <c r="C250" s="5">
        <v>0</v>
      </c>
      <c r="D250" s="5">
        <v>1</v>
      </c>
      <c r="E250" s="5">
        <v>224</v>
      </c>
      <c r="F250" s="5">
        <f>ROUND(Source!AR222,O250)</f>
        <v>871132.83</v>
      </c>
      <c r="G250" s="5" t="s">
        <v>118</v>
      </c>
      <c r="H250" s="5" t="s">
        <v>119</v>
      </c>
      <c r="I250" s="5"/>
      <c r="J250" s="5"/>
      <c r="K250" s="5">
        <v>224</v>
      </c>
      <c r="L250" s="5">
        <v>27</v>
      </c>
      <c r="M250" s="5">
        <v>3</v>
      </c>
      <c r="N250" s="5" t="s">
        <v>6</v>
      </c>
      <c r="O250" s="5">
        <v>2</v>
      </c>
      <c r="P250" s="5">
        <f>ROUND(Source!EJ222,O250)</f>
        <v>13319985.550000001</v>
      </c>
      <c r="Q250" s="5"/>
      <c r="R250" s="5"/>
      <c r="S250" s="5"/>
      <c r="T250" s="5"/>
      <c r="U250" s="5"/>
      <c r="V250" s="5"/>
      <c r="W250" s="5">
        <v>871132.83</v>
      </c>
      <c r="X250" s="5">
        <v>1</v>
      </c>
      <c r="Y250" s="5">
        <v>871132.83</v>
      </c>
      <c r="Z250" s="5">
        <v>13319985.550000001</v>
      </c>
      <c r="AA250" s="5">
        <v>1</v>
      </c>
      <c r="AB250" s="5">
        <v>13319985.550000001</v>
      </c>
    </row>
    <row r="252" spans="1:206">
      <c r="A252" s="3">
        <v>51</v>
      </c>
      <c r="B252" s="3">
        <f>B127</f>
        <v>1</v>
      </c>
      <c r="C252" s="3">
        <f>A127</f>
        <v>4</v>
      </c>
      <c r="D252" s="3">
        <f>ROW(A127)</f>
        <v>127</v>
      </c>
      <c r="E252" s="3"/>
      <c r="F252" s="3" t="str">
        <f>IF(F127&lt;&gt;"",F127,"")</f>
        <v>Новый раздел</v>
      </c>
      <c r="G252" s="3" t="str">
        <f>IF(G127&lt;&gt;"",G127,"")</f>
        <v>Благоустройство</v>
      </c>
      <c r="H252" s="3">
        <v>0</v>
      </c>
      <c r="I252" s="3"/>
      <c r="J252" s="3"/>
      <c r="K252" s="3"/>
      <c r="L252" s="3"/>
      <c r="M252" s="3"/>
      <c r="N252" s="3"/>
      <c r="O252" s="3">
        <f t="shared" ref="O252:T252" si="328">ROUND(O222+AB252,2)</f>
        <v>807864.34</v>
      </c>
      <c r="P252" s="3">
        <f t="shared" si="328"/>
        <v>665555.86</v>
      </c>
      <c r="Q252" s="3">
        <f t="shared" si="328"/>
        <v>123568.53</v>
      </c>
      <c r="R252" s="3">
        <f t="shared" si="328"/>
        <v>11235.61</v>
      </c>
      <c r="S252" s="3">
        <f t="shared" si="328"/>
        <v>18739.95</v>
      </c>
      <c r="T252" s="3">
        <f t="shared" si="328"/>
        <v>0</v>
      </c>
      <c r="U252" s="3">
        <f>U222+AH252</f>
        <v>1622.9368965599997</v>
      </c>
      <c r="V252" s="3">
        <f>V222+AI252</f>
        <v>0</v>
      </c>
      <c r="W252" s="3">
        <f>ROUND(W222+AJ252,2)</f>
        <v>0</v>
      </c>
      <c r="X252" s="3">
        <f>ROUND(X222+AK252,2)</f>
        <v>26185.599999999999</v>
      </c>
      <c r="Y252" s="3">
        <f>ROUND(Y222+AL252,2)</f>
        <v>17420.54</v>
      </c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>
        <f t="shared" ref="AO252:BD252" si="329">ROUND(AO222+BX252,2)</f>
        <v>0</v>
      </c>
      <c r="AP252" s="3">
        <f t="shared" si="329"/>
        <v>0</v>
      </c>
      <c r="AQ252" s="3">
        <f t="shared" si="329"/>
        <v>0</v>
      </c>
      <c r="AR252" s="3">
        <f t="shared" si="329"/>
        <v>871132.83</v>
      </c>
      <c r="AS252" s="3">
        <f t="shared" si="329"/>
        <v>871132.83</v>
      </c>
      <c r="AT252" s="3">
        <f t="shared" si="329"/>
        <v>0</v>
      </c>
      <c r="AU252" s="3">
        <f t="shared" si="329"/>
        <v>0</v>
      </c>
      <c r="AV252" s="3">
        <f t="shared" si="329"/>
        <v>665555.86</v>
      </c>
      <c r="AW252" s="3">
        <f t="shared" si="329"/>
        <v>665555.86</v>
      </c>
      <c r="AX252" s="3">
        <f t="shared" si="329"/>
        <v>0</v>
      </c>
      <c r="AY252" s="3">
        <f t="shared" si="329"/>
        <v>665555.86</v>
      </c>
      <c r="AZ252" s="3">
        <f t="shared" si="329"/>
        <v>0</v>
      </c>
      <c r="BA252" s="3">
        <f t="shared" si="329"/>
        <v>0</v>
      </c>
      <c r="BB252" s="3">
        <f t="shared" si="329"/>
        <v>0</v>
      </c>
      <c r="BC252" s="3">
        <f t="shared" si="329"/>
        <v>0</v>
      </c>
      <c r="BD252" s="3">
        <f t="shared" si="329"/>
        <v>0</v>
      </c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  <c r="CH252" s="3"/>
      <c r="CI252" s="3"/>
      <c r="CJ252" s="3"/>
      <c r="CK252" s="3"/>
      <c r="CL252" s="3"/>
      <c r="CM252" s="3"/>
      <c r="CN252" s="3"/>
      <c r="CO252" s="3"/>
      <c r="CP252" s="3"/>
      <c r="CQ252" s="3"/>
      <c r="CR252" s="3"/>
      <c r="CS252" s="3"/>
      <c r="CT252" s="3"/>
      <c r="CU252" s="3"/>
      <c r="CV252" s="3"/>
      <c r="CW252" s="3"/>
      <c r="CX252" s="3"/>
      <c r="CY252" s="3"/>
      <c r="CZ252" s="3"/>
      <c r="DA252" s="3"/>
      <c r="DB252" s="3"/>
      <c r="DC252" s="3"/>
      <c r="DD252" s="3"/>
      <c r="DE252" s="3"/>
      <c r="DF252" s="3"/>
      <c r="DG252" s="4">
        <f t="shared" ref="DG252:DL252" si="330">ROUND(DG222+DT252,2)</f>
        <v>11010118.869999999</v>
      </c>
      <c r="DH252" s="4">
        <f t="shared" si="330"/>
        <v>8463600.8900000006</v>
      </c>
      <c r="DI252" s="4">
        <f t="shared" si="330"/>
        <v>1671924.54</v>
      </c>
      <c r="DJ252" s="4">
        <f t="shared" si="330"/>
        <v>524365.93999999994</v>
      </c>
      <c r="DK252" s="4">
        <f t="shared" si="330"/>
        <v>874593.44</v>
      </c>
      <c r="DL252" s="4">
        <f t="shared" si="330"/>
        <v>0</v>
      </c>
      <c r="DM252" s="4">
        <f>DM222+DZ252</f>
        <v>1622.9368965599997</v>
      </c>
      <c r="DN252" s="4">
        <f>DN222+EA252</f>
        <v>0</v>
      </c>
      <c r="DO252" s="4">
        <f>ROUND(DO222+EB252,2)</f>
        <v>0</v>
      </c>
      <c r="DP252" s="4">
        <f>ROUND(DP222+EC252,2)</f>
        <v>1024421.14</v>
      </c>
      <c r="DQ252" s="4">
        <f>ROUND(DQ222+ED252,2)</f>
        <v>446460.03</v>
      </c>
      <c r="DR252" s="4"/>
      <c r="DS252" s="4"/>
      <c r="DT252" s="4"/>
      <c r="DU252" s="4"/>
      <c r="DV252" s="4"/>
      <c r="DW252" s="4"/>
      <c r="DX252" s="4"/>
      <c r="DY252" s="4"/>
      <c r="DZ252" s="4"/>
      <c r="EA252" s="4"/>
      <c r="EB252" s="4"/>
      <c r="EC252" s="4"/>
      <c r="ED252" s="4"/>
      <c r="EE252" s="4"/>
      <c r="EF252" s="4"/>
      <c r="EG252" s="4">
        <f t="shared" ref="EG252:EV252" si="331">ROUND(EG222+FP252,2)</f>
        <v>0</v>
      </c>
      <c r="EH252" s="4">
        <f t="shared" si="331"/>
        <v>0</v>
      </c>
      <c r="EI252" s="4">
        <f t="shared" si="331"/>
        <v>0</v>
      </c>
      <c r="EJ252" s="4">
        <f t="shared" si="331"/>
        <v>13319985.550000001</v>
      </c>
      <c r="EK252" s="4">
        <f t="shared" si="331"/>
        <v>13319985.550000001</v>
      </c>
      <c r="EL252" s="4">
        <f t="shared" si="331"/>
        <v>0</v>
      </c>
      <c r="EM252" s="4">
        <f t="shared" si="331"/>
        <v>0</v>
      </c>
      <c r="EN252" s="4">
        <f t="shared" si="331"/>
        <v>8463600.8900000006</v>
      </c>
      <c r="EO252" s="4">
        <f t="shared" si="331"/>
        <v>8463600.8900000006</v>
      </c>
      <c r="EP252" s="4">
        <f t="shared" si="331"/>
        <v>0</v>
      </c>
      <c r="EQ252" s="4">
        <f t="shared" si="331"/>
        <v>8463600.8900000006</v>
      </c>
      <c r="ER252" s="4">
        <f t="shared" si="331"/>
        <v>0</v>
      </c>
      <c r="ES252" s="4">
        <f t="shared" si="331"/>
        <v>0</v>
      </c>
      <c r="ET252" s="4">
        <f t="shared" si="331"/>
        <v>0</v>
      </c>
      <c r="EU252" s="4">
        <f t="shared" si="331"/>
        <v>0</v>
      </c>
      <c r="EV252" s="4">
        <f t="shared" si="331"/>
        <v>0</v>
      </c>
      <c r="EW252" s="4"/>
      <c r="EX252" s="4"/>
      <c r="EY252" s="4"/>
      <c r="EZ252" s="4"/>
      <c r="FA252" s="4"/>
      <c r="FB252" s="4"/>
      <c r="FC252" s="4"/>
      <c r="FD252" s="4"/>
      <c r="FE252" s="4"/>
      <c r="FF252" s="4"/>
      <c r="FG252" s="4"/>
      <c r="FH252" s="4"/>
      <c r="FI252" s="4"/>
      <c r="FJ252" s="4"/>
      <c r="FK252" s="4"/>
      <c r="FL252" s="4"/>
      <c r="FM252" s="4"/>
      <c r="FN252" s="4"/>
      <c r="FO252" s="4"/>
      <c r="FP252" s="4"/>
      <c r="FQ252" s="4"/>
      <c r="FR252" s="4"/>
      <c r="FS252" s="4"/>
      <c r="FT252" s="4"/>
      <c r="FU252" s="4"/>
      <c r="FV252" s="4"/>
      <c r="FW252" s="4"/>
      <c r="FX252" s="4"/>
      <c r="FY252" s="4"/>
      <c r="FZ252" s="4"/>
      <c r="GA252" s="4"/>
      <c r="GB252" s="4"/>
      <c r="GC252" s="4"/>
      <c r="GD252" s="4"/>
      <c r="GE252" s="4"/>
      <c r="GF252" s="4"/>
      <c r="GG252" s="4"/>
      <c r="GH252" s="4"/>
      <c r="GI252" s="4"/>
      <c r="GJ252" s="4"/>
      <c r="GK252" s="4"/>
      <c r="GL252" s="4"/>
      <c r="GM252" s="4"/>
      <c r="GN252" s="4"/>
      <c r="GO252" s="4"/>
      <c r="GP252" s="4"/>
      <c r="GQ252" s="4"/>
      <c r="GR252" s="4"/>
      <c r="GS252" s="4"/>
      <c r="GT252" s="4"/>
      <c r="GU252" s="4"/>
      <c r="GV252" s="4"/>
      <c r="GW252" s="4"/>
      <c r="GX252" s="4">
        <v>0</v>
      </c>
    </row>
    <row r="254" spans="1:206">
      <c r="A254" s="5">
        <v>50</v>
      </c>
      <c r="B254" s="5">
        <v>0</v>
      </c>
      <c r="C254" s="5">
        <v>0</v>
      </c>
      <c r="D254" s="5">
        <v>1</v>
      </c>
      <c r="E254" s="5">
        <v>201</v>
      </c>
      <c r="F254" s="5">
        <f>ROUND(Source!O252,O254)</f>
        <v>807864.34</v>
      </c>
      <c r="G254" s="5" t="s">
        <v>66</v>
      </c>
      <c r="H254" s="5" t="s">
        <v>67</v>
      </c>
      <c r="I254" s="5"/>
      <c r="J254" s="5"/>
      <c r="K254" s="5">
        <v>201</v>
      </c>
      <c r="L254" s="5">
        <v>1</v>
      </c>
      <c r="M254" s="5">
        <v>3</v>
      </c>
      <c r="N254" s="5" t="s">
        <v>6</v>
      </c>
      <c r="O254" s="5">
        <v>2</v>
      </c>
      <c r="P254" s="5">
        <f>ROUND(Source!DG252,O254)</f>
        <v>11010118.869999999</v>
      </c>
      <c r="Q254" s="5"/>
      <c r="R254" s="5"/>
      <c r="S254" s="5"/>
      <c r="T254" s="5"/>
      <c r="U254" s="5"/>
      <c r="V254" s="5"/>
      <c r="W254" s="5">
        <v>807864.34</v>
      </c>
      <c r="X254" s="5">
        <v>1</v>
      </c>
      <c r="Y254" s="5">
        <v>807864.34</v>
      </c>
      <c r="Z254" s="5">
        <v>11010118.869999999</v>
      </c>
      <c r="AA254" s="5">
        <v>1</v>
      </c>
      <c r="AB254" s="5">
        <v>11010118.869999999</v>
      </c>
    </row>
    <row r="255" spans="1:206">
      <c r="A255" s="5">
        <v>50</v>
      </c>
      <c r="B255" s="5">
        <v>0</v>
      </c>
      <c r="C255" s="5">
        <v>0</v>
      </c>
      <c r="D255" s="5">
        <v>1</v>
      </c>
      <c r="E255" s="5">
        <v>202</v>
      </c>
      <c r="F255" s="5">
        <f>ROUND(Source!P252,O255)</f>
        <v>665555.86</v>
      </c>
      <c r="G255" s="5" t="s">
        <v>68</v>
      </c>
      <c r="H255" s="5" t="s">
        <v>69</v>
      </c>
      <c r="I255" s="5"/>
      <c r="J255" s="5"/>
      <c r="K255" s="5">
        <v>202</v>
      </c>
      <c r="L255" s="5">
        <v>2</v>
      </c>
      <c r="M255" s="5">
        <v>3</v>
      </c>
      <c r="N255" s="5" t="s">
        <v>6</v>
      </c>
      <c r="O255" s="5">
        <v>2</v>
      </c>
      <c r="P255" s="5">
        <f>ROUND(Source!DH252,O255)</f>
        <v>8463600.8900000006</v>
      </c>
      <c r="Q255" s="5"/>
      <c r="R255" s="5"/>
      <c r="S255" s="5"/>
      <c r="T255" s="5"/>
      <c r="U255" s="5"/>
      <c r="V255" s="5"/>
      <c r="W255" s="5">
        <v>665555.86</v>
      </c>
      <c r="X255" s="5">
        <v>1</v>
      </c>
      <c r="Y255" s="5">
        <v>665555.86</v>
      </c>
      <c r="Z255" s="5">
        <v>8463600.8900000006</v>
      </c>
      <c r="AA255" s="5">
        <v>1</v>
      </c>
      <c r="AB255" s="5">
        <v>8463600.8900000006</v>
      </c>
    </row>
    <row r="256" spans="1:206">
      <c r="A256" s="5">
        <v>50</v>
      </c>
      <c r="B256" s="5">
        <v>0</v>
      </c>
      <c r="C256" s="5">
        <v>0</v>
      </c>
      <c r="D256" s="5">
        <v>1</v>
      </c>
      <c r="E256" s="5">
        <v>222</v>
      </c>
      <c r="F256" s="5">
        <f>ROUND(Source!AO252,O256)</f>
        <v>0</v>
      </c>
      <c r="G256" s="5" t="s">
        <v>70</v>
      </c>
      <c r="H256" s="5" t="s">
        <v>71</v>
      </c>
      <c r="I256" s="5"/>
      <c r="J256" s="5"/>
      <c r="K256" s="5">
        <v>222</v>
      </c>
      <c r="L256" s="5">
        <v>3</v>
      </c>
      <c r="M256" s="5">
        <v>3</v>
      </c>
      <c r="N256" s="5" t="s">
        <v>6</v>
      </c>
      <c r="O256" s="5">
        <v>2</v>
      </c>
      <c r="P256" s="5">
        <f>ROUND(Source!EG252,O256)</f>
        <v>0</v>
      </c>
      <c r="Q256" s="5"/>
      <c r="R256" s="5"/>
      <c r="S256" s="5"/>
      <c r="T256" s="5"/>
      <c r="U256" s="5"/>
      <c r="V256" s="5"/>
      <c r="W256" s="5">
        <v>0</v>
      </c>
      <c r="X256" s="5">
        <v>1</v>
      </c>
      <c r="Y256" s="5">
        <v>0</v>
      </c>
      <c r="Z256" s="5">
        <v>0</v>
      </c>
      <c r="AA256" s="5">
        <v>1</v>
      </c>
      <c r="AB256" s="5">
        <v>0</v>
      </c>
    </row>
    <row r="257" spans="1:28">
      <c r="A257" s="5">
        <v>50</v>
      </c>
      <c r="B257" s="5">
        <v>0</v>
      </c>
      <c r="C257" s="5">
        <v>0</v>
      </c>
      <c r="D257" s="5">
        <v>1</v>
      </c>
      <c r="E257" s="5">
        <v>225</v>
      </c>
      <c r="F257" s="5">
        <f>ROUND(Source!AV252,O257)</f>
        <v>665555.86</v>
      </c>
      <c r="G257" s="5" t="s">
        <v>72</v>
      </c>
      <c r="H257" s="5" t="s">
        <v>73</v>
      </c>
      <c r="I257" s="5"/>
      <c r="J257" s="5"/>
      <c r="K257" s="5">
        <v>225</v>
      </c>
      <c r="L257" s="5">
        <v>4</v>
      </c>
      <c r="M257" s="5">
        <v>3</v>
      </c>
      <c r="N257" s="5" t="s">
        <v>6</v>
      </c>
      <c r="O257" s="5">
        <v>2</v>
      </c>
      <c r="P257" s="5">
        <f>ROUND(Source!EN252,O257)</f>
        <v>8463600.8900000006</v>
      </c>
      <c r="Q257" s="5"/>
      <c r="R257" s="5"/>
      <c r="S257" s="5"/>
      <c r="T257" s="5"/>
      <c r="U257" s="5"/>
      <c r="V257" s="5"/>
      <c r="W257" s="5">
        <v>665555.86</v>
      </c>
      <c r="X257" s="5">
        <v>1</v>
      </c>
      <c r="Y257" s="5">
        <v>665555.86</v>
      </c>
      <c r="Z257" s="5">
        <v>8463600.8900000006</v>
      </c>
      <c r="AA257" s="5">
        <v>1</v>
      </c>
      <c r="AB257" s="5">
        <v>8463600.8900000006</v>
      </c>
    </row>
    <row r="258" spans="1:28">
      <c r="A258" s="5">
        <v>50</v>
      </c>
      <c r="B258" s="5">
        <v>0</v>
      </c>
      <c r="C258" s="5">
        <v>0</v>
      </c>
      <c r="D258" s="5">
        <v>1</v>
      </c>
      <c r="E258" s="5">
        <v>226</v>
      </c>
      <c r="F258" s="5">
        <f>ROUND(Source!AW252,O258)</f>
        <v>665555.86</v>
      </c>
      <c r="G258" s="5" t="s">
        <v>74</v>
      </c>
      <c r="H258" s="5" t="s">
        <v>75</v>
      </c>
      <c r="I258" s="5"/>
      <c r="J258" s="5"/>
      <c r="K258" s="5">
        <v>226</v>
      </c>
      <c r="L258" s="5">
        <v>5</v>
      </c>
      <c r="M258" s="5">
        <v>3</v>
      </c>
      <c r="N258" s="5" t="s">
        <v>6</v>
      </c>
      <c r="O258" s="5">
        <v>2</v>
      </c>
      <c r="P258" s="5">
        <f>ROUND(Source!EO252,O258)</f>
        <v>8463600.8900000006</v>
      </c>
      <c r="Q258" s="5"/>
      <c r="R258" s="5"/>
      <c r="S258" s="5"/>
      <c r="T258" s="5"/>
      <c r="U258" s="5"/>
      <c r="V258" s="5"/>
      <c r="W258" s="5">
        <v>665555.86</v>
      </c>
      <c r="X258" s="5">
        <v>1</v>
      </c>
      <c r="Y258" s="5">
        <v>665555.86</v>
      </c>
      <c r="Z258" s="5">
        <v>8463600.8900000006</v>
      </c>
      <c r="AA258" s="5">
        <v>1</v>
      </c>
      <c r="AB258" s="5">
        <v>8463600.8900000006</v>
      </c>
    </row>
    <row r="259" spans="1:28">
      <c r="A259" s="5">
        <v>50</v>
      </c>
      <c r="B259" s="5">
        <v>0</v>
      </c>
      <c r="C259" s="5">
        <v>0</v>
      </c>
      <c r="D259" s="5">
        <v>1</v>
      </c>
      <c r="E259" s="5">
        <v>227</v>
      </c>
      <c r="F259" s="5">
        <f>ROUND(Source!AX252,O259)</f>
        <v>0</v>
      </c>
      <c r="G259" s="5" t="s">
        <v>76</v>
      </c>
      <c r="H259" s="5" t="s">
        <v>77</v>
      </c>
      <c r="I259" s="5"/>
      <c r="J259" s="5"/>
      <c r="K259" s="5">
        <v>227</v>
      </c>
      <c r="L259" s="5">
        <v>6</v>
      </c>
      <c r="M259" s="5">
        <v>3</v>
      </c>
      <c r="N259" s="5" t="s">
        <v>6</v>
      </c>
      <c r="O259" s="5">
        <v>2</v>
      </c>
      <c r="P259" s="5">
        <f>ROUND(Source!EP252,O259)</f>
        <v>0</v>
      </c>
      <c r="Q259" s="5"/>
      <c r="R259" s="5"/>
      <c r="S259" s="5"/>
      <c r="T259" s="5"/>
      <c r="U259" s="5"/>
      <c r="V259" s="5"/>
      <c r="W259" s="5">
        <v>0</v>
      </c>
      <c r="X259" s="5">
        <v>1</v>
      </c>
      <c r="Y259" s="5">
        <v>0</v>
      </c>
      <c r="Z259" s="5">
        <v>0</v>
      </c>
      <c r="AA259" s="5">
        <v>1</v>
      </c>
      <c r="AB259" s="5">
        <v>0</v>
      </c>
    </row>
    <row r="260" spans="1:28">
      <c r="A260" s="5">
        <v>50</v>
      </c>
      <c r="B260" s="5">
        <v>0</v>
      </c>
      <c r="C260" s="5">
        <v>0</v>
      </c>
      <c r="D260" s="5">
        <v>1</v>
      </c>
      <c r="E260" s="5">
        <v>228</v>
      </c>
      <c r="F260" s="5">
        <f>ROUND(Source!AY252,O260)</f>
        <v>665555.86</v>
      </c>
      <c r="G260" s="5" t="s">
        <v>78</v>
      </c>
      <c r="H260" s="5" t="s">
        <v>79</v>
      </c>
      <c r="I260" s="5"/>
      <c r="J260" s="5"/>
      <c r="K260" s="5">
        <v>228</v>
      </c>
      <c r="L260" s="5">
        <v>7</v>
      </c>
      <c r="M260" s="5">
        <v>3</v>
      </c>
      <c r="N260" s="5" t="s">
        <v>6</v>
      </c>
      <c r="O260" s="5">
        <v>2</v>
      </c>
      <c r="P260" s="5">
        <f>ROUND(Source!EQ252,O260)</f>
        <v>8463600.8900000006</v>
      </c>
      <c r="Q260" s="5"/>
      <c r="R260" s="5"/>
      <c r="S260" s="5"/>
      <c r="T260" s="5"/>
      <c r="U260" s="5"/>
      <c r="V260" s="5"/>
      <c r="W260" s="5">
        <v>665555.86</v>
      </c>
      <c r="X260" s="5">
        <v>1</v>
      </c>
      <c r="Y260" s="5">
        <v>665555.86</v>
      </c>
      <c r="Z260" s="5">
        <v>8463600.8900000006</v>
      </c>
      <c r="AA260" s="5">
        <v>1</v>
      </c>
      <c r="AB260" s="5">
        <v>8463600.8900000006</v>
      </c>
    </row>
    <row r="261" spans="1:28">
      <c r="A261" s="5">
        <v>50</v>
      </c>
      <c r="B261" s="5">
        <v>0</v>
      </c>
      <c r="C261" s="5">
        <v>0</v>
      </c>
      <c r="D261" s="5">
        <v>1</v>
      </c>
      <c r="E261" s="5">
        <v>216</v>
      </c>
      <c r="F261" s="5">
        <f>ROUND(Source!AP252,O261)</f>
        <v>0</v>
      </c>
      <c r="G261" s="5" t="s">
        <v>80</v>
      </c>
      <c r="H261" s="5" t="s">
        <v>81</v>
      </c>
      <c r="I261" s="5"/>
      <c r="J261" s="5"/>
      <c r="K261" s="5">
        <v>216</v>
      </c>
      <c r="L261" s="5">
        <v>8</v>
      </c>
      <c r="M261" s="5">
        <v>3</v>
      </c>
      <c r="N261" s="5" t="s">
        <v>6</v>
      </c>
      <c r="O261" s="5">
        <v>2</v>
      </c>
      <c r="P261" s="5">
        <f>ROUND(Source!EH252,O261)</f>
        <v>0</v>
      </c>
      <c r="Q261" s="5"/>
      <c r="R261" s="5"/>
      <c r="S261" s="5"/>
      <c r="T261" s="5"/>
      <c r="U261" s="5"/>
      <c r="V261" s="5"/>
      <c r="W261" s="5">
        <v>0</v>
      </c>
      <c r="X261" s="5">
        <v>1</v>
      </c>
      <c r="Y261" s="5">
        <v>0</v>
      </c>
      <c r="Z261" s="5">
        <v>0</v>
      </c>
      <c r="AA261" s="5">
        <v>1</v>
      </c>
      <c r="AB261" s="5">
        <v>0</v>
      </c>
    </row>
    <row r="262" spans="1:28">
      <c r="A262" s="5">
        <v>50</v>
      </c>
      <c r="B262" s="5">
        <v>0</v>
      </c>
      <c r="C262" s="5">
        <v>0</v>
      </c>
      <c r="D262" s="5">
        <v>1</v>
      </c>
      <c r="E262" s="5">
        <v>223</v>
      </c>
      <c r="F262" s="5">
        <f>ROUND(Source!AQ252,O262)</f>
        <v>0</v>
      </c>
      <c r="G262" s="5" t="s">
        <v>82</v>
      </c>
      <c r="H262" s="5" t="s">
        <v>83</v>
      </c>
      <c r="I262" s="5"/>
      <c r="J262" s="5"/>
      <c r="K262" s="5">
        <v>223</v>
      </c>
      <c r="L262" s="5">
        <v>9</v>
      </c>
      <c r="M262" s="5">
        <v>3</v>
      </c>
      <c r="N262" s="5" t="s">
        <v>6</v>
      </c>
      <c r="O262" s="5">
        <v>2</v>
      </c>
      <c r="P262" s="5">
        <f>ROUND(Source!EI252,O262)</f>
        <v>0</v>
      </c>
      <c r="Q262" s="5"/>
      <c r="R262" s="5"/>
      <c r="S262" s="5"/>
      <c r="T262" s="5"/>
      <c r="U262" s="5"/>
      <c r="V262" s="5"/>
      <c r="W262" s="5">
        <v>0</v>
      </c>
      <c r="X262" s="5">
        <v>1</v>
      </c>
      <c r="Y262" s="5">
        <v>0</v>
      </c>
      <c r="Z262" s="5">
        <v>0</v>
      </c>
      <c r="AA262" s="5">
        <v>1</v>
      </c>
      <c r="AB262" s="5">
        <v>0</v>
      </c>
    </row>
    <row r="263" spans="1:28">
      <c r="A263" s="5">
        <v>50</v>
      </c>
      <c r="B263" s="5">
        <v>0</v>
      </c>
      <c r="C263" s="5">
        <v>0</v>
      </c>
      <c r="D263" s="5">
        <v>1</v>
      </c>
      <c r="E263" s="5">
        <v>229</v>
      </c>
      <c r="F263" s="5">
        <f>ROUND(Source!AZ252,O263)</f>
        <v>0</v>
      </c>
      <c r="G263" s="5" t="s">
        <v>84</v>
      </c>
      <c r="H263" s="5" t="s">
        <v>85</v>
      </c>
      <c r="I263" s="5"/>
      <c r="J263" s="5"/>
      <c r="K263" s="5">
        <v>229</v>
      </c>
      <c r="L263" s="5">
        <v>10</v>
      </c>
      <c r="M263" s="5">
        <v>3</v>
      </c>
      <c r="N263" s="5" t="s">
        <v>6</v>
      </c>
      <c r="O263" s="5">
        <v>2</v>
      </c>
      <c r="P263" s="5">
        <f>ROUND(Source!ER252,O263)</f>
        <v>0</v>
      </c>
      <c r="Q263" s="5"/>
      <c r="R263" s="5"/>
      <c r="S263" s="5"/>
      <c r="T263" s="5"/>
      <c r="U263" s="5"/>
      <c r="V263" s="5"/>
      <c r="W263" s="5">
        <v>0</v>
      </c>
      <c r="X263" s="5">
        <v>1</v>
      </c>
      <c r="Y263" s="5">
        <v>0</v>
      </c>
      <c r="Z263" s="5">
        <v>0</v>
      </c>
      <c r="AA263" s="5">
        <v>1</v>
      </c>
      <c r="AB263" s="5">
        <v>0</v>
      </c>
    </row>
    <row r="264" spans="1:28">
      <c r="A264" s="5">
        <v>50</v>
      </c>
      <c r="B264" s="5">
        <v>0</v>
      </c>
      <c r="C264" s="5">
        <v>0</v>
      </c>
      <c r="D264" s="5">
        <v>1</v>
      </c>
      <c r="E264" s="5">
        <v>203</v>
      </c>
      <c r="F264" s="5">
        <f>ROUND(Source!Q252,O264)</f>
        <v>123568.53</v>
      </c>
      <c r="G264" s="5" t="s">
        <v>86</v>
      </c>
      <c r="H264" s="5" t="s">
        <v>87</v>
      </c>
      <c r="I264" s="5"/>
      <c r="J264" s="5"/>
      <c r="K264" s="5">
        <v>203</v>
      </c>
      <c r="L264" s="5">
        <v>11</v>
      </c>
      <c r="M264" s="5">
        <v>3</v>
      </c>
      <c r="N264" s="5" t="s">
        <v>6</v>
      </c>
      <c r="O264" s="5">
        <v>2</v>
      </c>
      <c r="P264" s="5">
        <f>ROUND(Source!DI252,O264)</f>
        <v>1671924.54</v>
      </c>
      <c r="Q264" s="5"/>
      <c r="R264" s="5"/>
      <c r="S264" s="5"/>
      <c r="T264" s="5"/>
      <c r="U264" s="5"/>
      <c r="V264" s="5"/>
      <c r="W264" s="5">
        <v>123568.53</v>
      </c>
      <c r="X264" s="5">
        <v>1</v>
      </c>
      <c r="Y264" s="5">
        <v>123568.53</v>
      </c>
      <c r="Z264" s="5">
        <v>1671924.54</v>
      </c>
      <c r="AA264" s="5">
        <v>1</v>
      </c>
      <c r="AB264" s="5">
        <v>1671924.54</v>
      </c>
    </row>
    <row r="265" spans="1:28">
      <c r="A265" s="5">
        <v>50</v>
      </c>
      <c r="B265" s="5">
        <v>0</v>
      </c>
      <c r="C265" s="5">
        <v>0</v>
      </c>
      <c r="D265" s="5">
        <v>1</v>
      </c>
      <c r="E265" s="5">
        <v>231</v>
      </c>
      <c r="F265" s="5">
        <f>ROUND(Source!BB252,O265)</f>
        <v>0</v>
      </c>
      <c r="G265" s="5" t="s">
        <v>88</v>
      </c>
      <c r="H265" s="5" t="s">
        <v>89</v>
      </c>
      <c r="I265" s="5"/>
      <c r="J265" s="5"/>
      <c r="K265" s="5">
        <v>231</v>
      </c>
      <c r="L265" s="5">
        <v>12</v>
      </c>
      <c r="M265" s="5">
        <v>3</v>
      </c>
      <c r="N265" s="5" t="s">
        <v>6</v>
      </c>
      <c r="O265" s="5">
        <v>2</v>
      </c>
      <c r="P265" s="5">
        <f>ROUND(Source!ET252,O265)</f>
        <v>0</v>
      </c>
      <c r="Q265" s="5"/>
      <c r="R265" s="5"/>
      <c r="S265" s="5"/>
      <c r="T265" s="5"/>
      <c r="U265" s="5"/>
      <c r="V265" s="5"/>
      <c r="W265" s="5">
        <v>0</v>
      </c>
      <c r="X265" s="5">
        <v>1</v>
      </c>
      <c r="Y265" s="5">
        <v>0</v>
      </c>
      <c r="Z265" s="5">
        <v>0</v>
      </c>
      <c r="AA265" s="5">
        <v>1</v>
      </c>
      <c r="AB265" s="5">
        <v>0</v>
      </c>
    </row>
    <row r="266" spans="1:28">
      <c r="A266" s="5">
        <v>50</v>
      </c>
      <c r="B266" s="5">
        <v>0</v>
      </c>
      <c r="C266" s="5">
        <v>0</v>
      </c>
      <c r="D266" s="5">
        <v>1</v>
      </c>
      <c r="E266" s="5">
        <v>204</v>
      </c>
      <c r="F266" s="5">
        <f>ROUND(Source!R252,O266)</f>
        <v>11235.61</v>
      </c>
      <c r="G266" s="5" t="s">
        <v>90</v>
      </c>
      <c r="H266" s="5" t="s">
        <v>91</v>
      </c>
      <c r="I266" s="5"/>
      <c r="J266" s="5"/>
      <c r="K266" s="5">
        <v>204</v>
      </c>
      <c r="L266" s="5">
        <v>13</v>
      </c>
      <c r="M266" s="5">
        <v>3</v>
      </c>
      <c r="N266" s="5" t="s">
        <v>6</v>
      </c>
      <c r="O266" s="5">
        <v>2</v>
      </c>
      <c r="P266" s="5">
        <f>ROUND(Source!DJ252,O266)</f>
        <v>524365.93999999994</v>
      </c>
      <c r="Q266" s="5"/>
      <c r="R266" s="5"/>
      <c r="S266" s="5"/>
      <c r="T266" s="5"/>
      <c r="U266" s="5"/>
      <c r="V266" s="5"/>
      <c r="W266" s="5">
        <v>11235.61</v>
      </c>
      <c r="X266" s="5">
        <v>1</v>
      </c>
      <c r="Y266" s="5">
        <v>11235.61</v>
      </c>
      <c r="Z266" s="5">
        <v>524365.93999999994</v>
      </c>
      <c r="AA266" s="5">
        <v>1</v>
      </c>
      <c r="AB266" s="5">
        <v>524365.93999999994</v>
      </c>
    </row>
    <row r="267" spans="1:28">
      <c r="A267" s="5">
        <v>50</v>
      </c>
      <c r="B267" s="5">
        <v>0</v>
      </c>
      <c r="C267" s="5">
        <v>0</v>
      </c>
      <c r="D267" s="5">
        <v>1</v>
      </c>
      <c r="E267" s="5">
        <v>205</v>
      </c>
      <c r="F267" s="5">
        <f>ROUND(Source!S252,O267)</f>
        <v>18739.95</v>
      </c>
      <c r="G267" s="5" t="s">
        <v>92</v>
      </c>
      <c r="H267" s="5" t="s">
        <v>93</v>
      </c>
      <c r="I267" s="5"/>
      <c r="J267" s="5"/>
      <c r="K267" s="5">
        <v>205</v>
      </c>
      <c r="L267" s="5">
        <v>14</v>
      </c>
      <c r="M267" s="5">
        <v>3</v>
      </c>
      <c r="N267" s="5" t="s">
        <v>6</v>
      </c>
      <c r="O267" s="5">
        <v>2</v>
      </c>
      <c r="P267" s="5">
        <f>ROUND(Source!DK252,O267)</f>
        <v>874593.44</v>
      </c>
      <c r="Q267" s="5"/>
      <c r="R267" s="5"/>
      <c r="S267" s="5"/>
      <c r="T267" s="5"/>
      <c r="U267" s="5"/>
      <c r="V267" s="5"/>
      <c r="W267" s="5">
        <v>18739.95</v>
      </c>
      <c r="X267" s="5">
        <v>1</v>
      </c>
      <c r="Y267" s="5">
        <v>18739.95</v>
      </c>
      <c r="Z267" s="5">
        <v>874593.44</v>
      </c>
      <c r="AA267" s="5">
        <v>1</v>
      </c>
      <c r="AB267" s="5">
        <v>874593.44</v>
      </c>
    </row>
    <row r="268" spans="1:28">
      <c r="A268" s="5">
        <v>50</v>
      </c>
      <c r="B268" s="5">
        <v>0</v>
      </c>
      <c r="C268" s="5">
        <v>0</v>
      </c>
      <c r="D268" s="5">
        <v>1</v>
      </c>
      <c r="E268" s="5">
        <v>232</v>
      </c>
      <c r="F268" s="5">
        <f>ROUND(Source!BC252,O268)</f>
        <v>0</v>
      </c>
      <c r="G268" s="5" t="s">
        <v>94</v>
      </c>
      <c r="H268" s="5" t="s">
        <v>95</v>
      </c>
      <c r="I268" s="5"/>
      <c r="J268" s="5"/>
      <c r="K268" s="5">
        <v>232</v>
      </c>
      <c r="L268" s="5">
        <v>15</v>
      </c>
      <c r="M268" s="5">
        <v>3</v>
      </c>
      <c r="N268" s="5" t="s">
        <v>6</v>
      </c>
      <c r="O268" s="5">
        <v>2</v>
      </c>
      <c r="P268" s="5">
        <f>ROUND(Source!EU252,O268)</f>
        <v>0</v>
      </c>
      <c r="Q268" s="5"/>
      <c r="R268" s="5"/>
      <c r="S268" s="5"/>
      <c r="T268" s="5"/>
      <c r="U268" s="5"/>
      <c r="V268" s="5"/>
      <c r="W268" s="5">
        <v>0</v>
      </c>
      <c r="X268" s="5">
        <v>1</v>
      </c>
      <c r="Y268" s="5">
        <v>0</v>
      </c>
      <c r="Z268" s="5">
        <v>0</v>
      </c>
      <c r="AA268" s="5">
        <v>1</v>
      </c>
      <c r="AB268" s="5">
        <v>0</v>
      </c>
    </row>
    <row r="269" spans="1:28">
      <c r="A269" s="5">
        <v>50</v>
      </c>
      <c r="B269" s="5">
        <v>0</v>
      </c>
      <c r="C269" s="5">
        <v>0</v>
      </c>
      <c r="D269" s="5">
        <v>1</v>
      </c>
      <c r="E269" s="5">
        <v>214</v>
      </c>
      <c r="F269" s="5">
        <f>ROUND(Source!AS252,O269)</f>
        <v>871132.83</v>
      </c>
      <c r="G269" s="5" t="s">
        <v>96</v>
      </c>
      <c r="H269" s="5" t="s">
        <v>97</v>
      </c>
      <c r="I269" s="5"/>
      <c r="J269" s="5"/>
      <c r="K269" s="5">
        <v>214</v>
      </c>
      <c r="L269" s="5">
        <v>16</v>
      </c>
      <c r="M269" s="5">
        <v>3</v>
      </c>
      <c r="N269" s="5" t="s">
        <v>6</v>
      </c>
      <c r="O269" s="5">
        <v>2</v>
      </c>
      <c r="P269" s="5">
        <f>ROUND(Source!EK252,O269)</f>
        <v>13319985.550000001</v>
      </c>
      <c r="Q269" s="5"/>
      <c r="R269" s="5"/>
      <c r="S269" s="5"/>
      <c r="T269" s="5"/>
      <c r="U269" s="5"/>
      <c r="V269" s="5"/>
      <c r="W269" s="5">
        <v>871132.83</v>
      </c>
      <c r="X269" s="5">
        <v>1</v>
      </c>
      <c r="Y269" s="5">
        <v>871132.83</v>
      </c>
      <c r="Z269" s="5">
        <v>13319985.550000001</v>
      </c>
      <c r="AA269" s="5">
        <v>1</v>
      </c>
      <c r="AB269" s="5">
        <v>13319985.550000001</v>
      </c>
    </row>
    <row r="270" spans="1:28">
      <c r="A270" s="5">
        <v>50</v>
      </c>
      <c r="B270" s="5">
        <v>0</v>
      </c>
      <c r="C270" s="5">
        <v>0</v>
      </c>
      <c r="D270" s="5">
        <v>1</v>
      </c>
      <c r="E270" s="5">
        <v>215</v>
      </c>
      <c r="F270" s="5">
        <f>ROUND(Source!AT252,O270)</f>
        <v>0</v>
      </c>
      <c r="G270" s="5" t="s">
        <v>98</v>
      </c>
      <c r="H270" s="5" t="s">
        <v>99</v>
      </c>
      <c r="I270" s="5"/>
      <c r="J270" s="5"/>
      <c r="K270" s="5">
        <v>215</v>
      </c>
      <c r="L270" s="5">
        <v>17</v>
      </c>
      <c r="M270" s="5">
        <v>3</v>
      </c>
      <c r="N270" s="5" t="s">
        <v>6</v>
      </c>
      <c r="O270" s="5">
        <v>2</v>
      </c>
      <c r="P270" s="5">
        <f>ROUND(Source!EL252,O270)</f>
        <v>0</v>
      </c>
      <c r="Q270" s="5"/>
      <c r="R270" s="5"/>
      <c r="S270" s="5"/>
      <c r="T270" s="5"/>
      <c r="U270" s="5"/>
      <c r="V270" s="5"/>
      <c r="W270" s="5">
        <v>0</v>
      </c>
      <c r="X270" s="5">
        <v>1</v>
      </c>
      <c r="Y270" s="5">
        <v>0</v>
      </c>
      <c r="Z270" s="5">
        <v>0</v>
      </c>
      <c r="AA270" s="5">
        <v>1</v>
      </c>
      <c r="AB270" s="5">
        <v>0</v>
      </c>
    </row>
    <row r="271" spans="1:28">
      <c r="A271" s="5">
        <v>50</v>
      </c>
      <c r="B271" s="5">
        <v>0</v>
      </c>
      <c r="C271" s="5">
        <v>0</v>
      </c>
      <c r="D271" s="5">
        <v>1</v>
      </c>
      <c r="E271" s="5">
        <v>217</v>
      </c>
      <c r="F271" s="5">
        <f>ROUND(Source!AU252,O271)</f>
        <v>0</v>
      </c>
      <c r="G271" s="5" t="s">
        <v>100</v>
      </c>
      <c r="H271" s="5" t="s">
        <v>101</v>
      </c>
      <c r="I271" s="5"/>
      <c r="J271" s="5"/>
      <c r="K271" s="5">
        <v>217</v>
      </c>
      <c r="L271" s="5">
        <v>18</v>
      </c>
      <c r="M271" s="5">
        <v>3</v>
      </c>
      <c r="N271" s="5" t="s">
        <v>6</v>
      </c>
      <c r="O271" s="5">
        <v>2</v>
      </c>
      <c r="P271" s="5">
        <f>ROUND(Source!EM252,O271)</f>
        <v>0</v>
      </c>
      <c r="Q271" s="5"/>
      <c r="R271" s="5"/>
      <c r="S271" s="5"/>
      <c r="T271" s="5"/>
      <c r="U271" s="5"/>
      <c r="V271" s="5"/>
      <c r="W271" s="5">
        <v>0</v>
      </c>
      <c r="X271" s="5">
        <v>1</v>
      </c>
      <c r="Y271" s="5">
        <v>0</v>
      </c>
      <c r="Z271" s="5">
        <v>0</v>
      </c>
      <c r="AA271" s="5">
        <v>1</v>
      </c>
      <c r="AB271" s="5">
        <v>0</v>
      </c>
    </row>
    <row r="272" spans="1:28">
      <c r="A272" s="5">
        <v>50</v>
      </c>
      <c r="B272" s="5">
        <v>0</v>
      </c>
      <c r="C272" s="5">
        <v>0</v>
      </c>
      <c r="D272" s="5">
        <v>1</v>
      </c>
      <c r="E272" s="5">
        <v>230</v>
      </c>
      <c r="F272" s="5">
        <f>ROUND(Source!BA252,O272)</f>
        <v>0</v>
      </c>
      <c r="G272" s="5" t="s">
        <v>102</v>
      </c>
      <c r="H272" s="5" t="s">
        <v>103</v>
      </c>
      <c r="I272" s="5"/>
      <c r="J272" s="5"/>
      <c r="K272" s="5">
        <v>230</v>
      </c>
      <c r="L272" s="5">
        <v>19</v>
      </c>
      <c r="M272" s="5">
        <v>3</v>
      </c>
      <c r="N272" s="5" t="s">
        <v>6</v>
      </c>
      <c r="O272" s="5">
        <v>2</v>
      </c>
      <c r="P272" s="5">
        <f>ROUND(Source!ES252,O272)</f>
        <v>0</v>
      </c>
      <c r="Q272" s="5"/>
      <c r="R272" s="5"/>
      <c r="S272" s="5"/>
      <c r="T272" s="5"/>
      <c r="U272" s="5"/>
      <c r="V272" s="5"/>
      <c r="W272" s="5">
        <v>0</v>
      </c>
      <c r="X272" s="5">
        <v>1</v>
      </c>
      <c r="Y272" s="5">
        <v>0</v>
      </c>
      <c r="Z272" s="5">
        <v>0</v>
      </c>
      <c r="AA272" s="5">
        <v>1</v>
      </c>
      <c r="AB272" s="5">
        <v>0</v>
      </c>
    </row>
    <row r="273" spans="1:206">
      <c r="A273" s="5">
        <v>50</v>
      </c>
      <c r="B273" s="5">
        <v>0</v>
      </c>
      <c r="C273" s="5">
        <v>0</v>
      </c>
      <c r="D273" s="5">
        <v>1</v>
      </c>
      <c r="E273" s="5">
        <v>206</v>
      </c>
      <c r="F273" s="5">
        <f>ROUND(Source!T252,O273)</f>
        <v>0</v>
      </c>
      <c r="G273" s="5" t="s">
        <v>104</v>
      </c>
      <c r="H273" s="5" t="s">
        <v>105</v>
      </c>
      <c r="I273" s="5"/>
      <c r="J273" s="5"/>
      <c r="K273" s="5">
        <v>206</v>
      </c>
      <c r="L273" s="5">
        <v>20</v>
      </c>
      <c r="M273" s="5">
        <v>3</v>
      </c>
      <c r="N273" s="5" t="s">
        <v>6</v>
      </c>
      <c r="O273" s="5">
        <v>2</v>
      </c>
      <c r="P273" s="5">
        <f>ROUND(Source!DL252,O273)</f>
        <v>0</v>
      </c>
      <c r="Q273" s="5"/>
      <c r="R273" s="5"/>
      <c r="S273" s="5"/>
      <c r="T273" s="5"/>
      <c r="U273" s="5"/>
      <c r="V273" s="5"/>
      <c r="W273" s="5">
        <v>0</v>
      </c>
      <c r="X273" s="5">
        <v>1</v>
      </c>
      <c r="Y273" s="5">
        <v>0</v>
      </c>
      <c r="Z273" s="5">
        <v>0</v>
      </c>
      <c r="AA273" s="5">
        <v>1</v>
      </c>
      <c r="AB273" s="5">
        <v>0</v>
      </c>
    </row>
    <row r="274" spans="1:206">
      <c r="A274" s="5">
        <v>50</v>
      </c>
      <c r="B274" s="5">
        <v>0</v>
      </c>
      <c r="C274" s="5">
        <v>0</v>
      </c>
      <c r="D274" s="5">
        <v>1</v>
      </c>
      <c r="E274" s="5">
        <v>207</v>
      </c>
      <c r="F274" s="5">
        <f>Source!U252</f>
        <v>1622.9368965599997</v>
      </c>
      <c r="G274" s="5" t="s">
        <v>106</v>
      </c>
      <c r="H274" s="5" t="s">
        <v>107</v>
      </c>
      <c r="I274" s="5"/>
      <c r="J274" s="5"/>
      <c r="K274" s="5">
        <v>207</v>
      </c>
      <c r="L274" s="5">
        <v>21</v>
      </c>
      <c r="M274" s="5">
        <v>3</v>
      </c>
      <c r="N274" s="5" t="s">
        <v>6</v>
      </c>
      <c r="O274" s="5">
        <v>-1</v>
      </c>
      <c r="P274" s="5">
        <f>Source!DM252</f>
        <v>1622.9368965599997</v>
      </c>
      <c r="Q274" s="5"/>
      <c r="R274" s="5"/>
      <c r="S274" s="5"/>
      <c r="T274" s="5"/>
      <c r="U274" s="5"/>
      <c r="V274" s="5"/>
      <c r="W274" s="5">
        <v>1622.9368965600002</v>
      </c>
      <c r="X274" s="5">
        <v>1</v>
      </c>
      <c r="Y274" s="5">
        <v>1622.9368965600002</v>
      </c>
      <c r="Z274" s="5">
        <v>1622.9368965600002</v>
      </c>
      <c r="AA274" s="5">
        <v>1</v>
      </c>
      <c r="AB274" s="5">
        <v>1622.9368965600002</v>
      </c>
    </row>
    <row r="275" spans="1:206">
      <c r="A275" s="5">
        <v>50</v>
      </c>
      <c r="B275" s="5">
        <v>0</v>
      </c>
      <c r="C275" s="5">
        <v>0</v>
      </c>
      <c r="D275" s="5">
        <v>1</v>
      </c>
      <c r="E275" s="5">
        <v>208</v>
      </c>
      <c r="F275" s="5">
        <f>Source!V252</f>
        <v>0</v>
      </c>
      <c r="G275" s="5" t="s">
        <v>108</v>
      </c>
      <c r="H275" s="5" t="s">
        <v>109</v>
      </c>
      <c r="I275" s="5"/>
      <c r="J275" s="5"/>
      <c r="K275" s="5">
        <v>208</v>
      </c>
      <c r="L275" s="5">
        <v>22</v>
      </c>
      <c r="M275" s="5">
        <v>3</v>
      </c>
      <c r="N275" s="5" t="s">
        <v>6</v>
      </c>
      <c r="O275" s="5">
        <v>-1</v>
      </c>
      <c r="P275" s="5">
        <f>Source!DN252</f>
        <v>0</v>
      </c>
      <c r="Q275" s="5"/>
      <c r="R275" s="5"/>
      <c r="S275" s="5"/>
      <c r="T275" s="5"/>
      <c r="U275" s="5"/>
      <c r="V275" s="5"/>
      <c r="W275" s="5">
        <v>0</v>
      </c>
      <c r="X275" s="5">
        <v>1</v>
      </c>
      <c r="Y275" s="5">
        <v>0</v>
      </c>
      <c r="Z275" s="5">
        <v>0</v>
      </c>
      <c r="AA275" s="5">
        <v>1</v>
      </c>
      <c r="AB275" s="5">
        <v>0</v>
      </c>
    </row>
    <row r="276" spans="1:206">
      <c r="A276" s="5">
        <v>50</v>
      </c>
      <c r="B276" s="5">
        <v>0</v>
      </c>
      <c r="C276" s="5">
        <v>0</v>
      </c>
      <c r="D276" s="5">
        <v>1</v>
      </c>
      <c r="E276" s="5">
        <v>209</v>
      </c>
      <c r="F276" s="5">
        <f>ROUND(Source!W252,O276)</f>
        <v>0</v>
      </c>
      <c r="G276" s="5" t="s">
        <v>110</v>
      </c>
      <c r="H276" s="5" t="s">
        <v>111</v>
      </c>
      <c r="I276" s="5"/>
      <c r="J276" s="5"/>
      <c r="K276" s="5">
        <v>209</v>
      </c>
      <c r="L276" s="5">
        <v>23</v>
      </c>
      <c r="M276" s="5">
        <v>3</v>
      </c>
      <c r="N276" s="5" t="s">
        <v>6</v>
      </c>
      <c r="O276" s="5">
        <v>2</v>
      </c>
      <c r="P276" s="5">
        <f>ROUND(Source!DO252,O276)</f>
        <v>0</v>
      </c>
      <c r="Q276" s="5"/>
      <c r="R276" s="5"/>
      <c r="S276" s="5"/>
      <c r="T276" s="5"/>
      <c r="U276" s="5"/>
      <c r="V276" s="5"/>
      <c r="W276" s="5">
        <v>0</v>
      </c>
      <c r="X276" s="5">
        <v>1</v>
      </c>
      <c r="Y276" s="5">
        <v>0</v>
      </c>
      <c r="Z276" s="5">
        <v>0</v>
      </c>
      <c r="AA276" s="5">
        <v>1</v>
      </c>
      <c r="AB276" s="5">
        <v>0</v>
      </c>
    </row>
    <row r="277" spans="1:206">
      <c r="A277" s="5">
        <v>50</v>
      </c>
      <c r="B277" s="5">
        <v>0</v>
      </c>
      <c r="C277" s="5">
        <v>0</v>
      </c>
      <c r="D277" s="5">
        <v>1</v>
      </c>
      <c r="E277" s="5">
        <v>233</v>
      </c>
      <c r="F277" s="5">
        <f>ROUND(Source!BD252,O277)</f>
        <v>0</v>
      </c>
      <c r="G277" s="5" t="s">
        <v>112</v>
      </c>
      <c r="H277" s="5" t="s">
        <v>113</v>
      </c>
      <c r="I277" s="5"/>
      <c r="J277" s="5"/>
      <c r="K277" s="5">
        <v>233</v>
      </c>
      <c r="L277" s="5">
        <v>24</v>
      </c>
      <c r="M277" s="5">
        <v>3</v>
      </c>
      <c r="N277" s="5" t="s">
        <v>6</v>
      </c>
      <c r="O277" s="5">
        <v>2</v>
      </c>
      <c r="P277" s="5">
        <f>ROUND(Source!EV252,O277)</f>
        <v>0</v>
      </c>
      <c r="Q277" s="5"/>
      <c r="R277" s="5"/>
      <c r="S277" s="5"/>
      <c r="T277" s="5"/>
      <c r="U277" s="5"/>
      <c r="V277" s="5"/>
      <c r="W277" s="5">
        <v>0</v>
      </c>
      <c r="X277" s="5">
        <v>1</v>
      </c>
      <c r="Y277" s="5">
        <v>0</v>
      </c>
      <c r="Z277" s="5">
        <v>0</v>
      </c>
      <c r="AA277" s="5">
        <v>1</v>
      </c>
      <c r="AB277" s="5">
        <v>0</v>
      </c>
    </row>
    <row r="278" spans="1:206">
      <c r="A278" s="5">
        <v>50</v>
      </c>
      <c r="B278" s="5">
        <v>0</v>
      </c>
      <c r="C278" s="5">
        <v>0</v>
      </c>
      <c r="D278" s="5">
        <v>1</v>
      </c>
      <c r="E278" s="5">
        <v>210</v>
      </c>
      <c r="F278" s="5">
        <f>ROUND(Source!X252,O278)</f>
        <v>26185.599999999999</v>
      </c>
      <c r="G278" s="5" t="s">
        <v>114</v>
      </c>
      <c r="H278" s="5" t="s">
        <v>115</v>
      </c>
      <c r="I278" s="5"/>
      <c r="J278" s="5"/>
      <c r="K278" s="5">
        <v>210</v>
      </c>
      <c r="L278" s="5">
        <v>25</v>
      </c>
      <c r="M278" s="5">
        <v>3</v>
      </c>
      <c r="N278" s="5" t="s">
        <v>6</v>
      </c>
      <c r="O278" s="5">
        <v>2</v>
      </c>
      <c r="P278" s="5">
        <f>ROUND(Source!DP252,O278)</f>
        <v>1024421.14</v>
      </c>
      <c r="Q278" s="5"/>
      <c r="R278" s="5"/>
      <c r="S278" s="5"/>
      <c r="T278" s="5"/>
      <c r="U278" s="5"/>
      <c r="V278" s="5"/>
      <c r="W278" s="5">
        <v>26185.599999999999</v>
      </c>
      <c r="X278" s="5">
        <v>1</v>
      </c>
      <c r="Y278" s="5">
        <v>26185.599999999999</v>
      </c>
      <c r="Z278" s="5">
        <v>1024421.14</v>
      </c>
      <c r="AA278" s="5">
        <v>1</v>
      </c>
      <c r="AB278" s="5">
        <v>1024421.14</v>
      </c>
    </row>
    <row r="279" spans="1:206">
      <c r="A279" s="5">
        <v>50</v>
      </c>
      <c r="B279" s="5">
        <v>0</v>
      </c>
      <c r="C279" s="5">
        <v>0</v>
      </c>
      <c r="D279" s="5">
        <v>1</v>
      </c>
      <c r="E279" s="5">
        <v>211</v>
      </c>
      <c r="F279" s="5">
        <f>ROUND(Source!Y252,O279)</f>
        <v>17420.54</v>
      </c>
      <c r="G279" s="5" t="s">
        <v>116</v>
      </c>
      <c r="H279" s="5" t="s">
        <v>117</v>
      </c>
      <c r="I279" s="5"/>
      <c r="J279" s="5"/>
      <c r="K279" s="5">
        <v>211</v>
      </c>
      <c r="L279" s="5">
        <v>26</v>
      </c>
      <c r="M279" s="5">
        <v>3</v>
      </c>
      <c r="N279" s="5" t="s">
        <v>6</v>
      </c>
      <c r="O279" s="5">
        <v>2</v>
      </c>
      <c r="P279" s="5">
        <f>ROUND(Source!DQ252,O279)</f>
        <v>446460.03</v>
      </c>
      <c r="Q279" s="5"/>
      <c r="R279" s="5"/>
      <c r="S279" s="5"/>
      <c r="T279" s="5"/>
      <c r="U279" s="5"/>
      <c r="V279" s="5"/>
      <c r="W279" s="5">
        <v>17420.54</v>
      </c>
      <c r="X279" s="5">
        <v>1</v>
      </c>
      <c r="Y279" s="5">
        <v>17420.54</v>
      </c>
      <c r="Z279" s="5">
        <v>446460.03</v>
      </c>
      <c r="AA279" s="5">
        <v>1</v>
      </c>
      <c r="AB279" s="5">
        <v>446460.03</v>
      </c>
    </row>
    <row r="280" spans="1:206">
      <c r="A280" s="5">
        <v>50</v>
      </c>
      <c r="B280" s="5">
        <v>0</v>
      </c>
      <c r="C280" s="5">
        <v>0</v>
      </c>
      <c r="D280" s="5">
        <v>1</v>
      </c>
      <c r="E280" s="5">
        <v>224</v>
      </c>
      <c r="F280" s="5">
        <f>ROUND(Source!AR252,O280)</f>
        <v>871132.83</v>
      </c>
      <c r="G280" s="5" t="s">
        <v>118</v>
      </c>
      <c r="H280" s="5" t="s">
        <v>119</v>
      </c>
      <c r="I280" s="5"/>
      <c r="J280" s="5"/>
      <c r="K280" s="5">
        <v>224</v>
      </c>
      <c r="L280" s="5">
        <v>27</v>
      </c>
      <c r="M280" s="5">
        <v>3</v>
      </c>
      <c r="N280" s="5" t="s">
        <v>6</v>
      </c>
      <c r="O280" s="5">
        <v>2</v>
      </c>
      <c r="P280" s="5">
        <f>ROUND(Source!EJ252,O280)</f>
        <v>13319985.550000001</v>
      </c>
      <c r="Q280" s="5"/>
      <c r="R280" s="5"/>
      <c r="S280" s="5"/>
      <c r="T280" s="5"/>
      <c r="U280" s="5"/>
      <c r="V280" s="5"/>
      <c r="W280" s="5">
        <v>871132.83</v>
      </c>
      <c r="X280" s="5">
        <v>1</v>
      </c>
      <c r="Y280" s="5">
        <v>871132.83</v>
      </c>
      <c r="Z280" s="5">
        <v>13319985.550000001</v>
      </c>
      <c r="AA280" s="5">
        <v>1</v>
      </c>
      <c r="AB280" s="5">
        <v>13319985.550000001</v>
      </c>
    </row>
    <row r="282" spans="1:206">
      <c r="A282" s="3">
        <v>51</v>
      </c>
      <c r="B282" s="3">
        <f>B20</f>
        <v>1</v>
      </c>
      <c r="C282" s="3">
        <f>A20</f>
        <v>3</v>
      </c>
      <c r="D282" s="3">
        <f>ROW(A20)</f>
        <v>20</v>
      </c>
      <c r="E282" s="3"/>
      <c r="F282" s="3" t="str">
        <f>IF(F20&lt;&gt;"",F20,"")</f>
        <v>02-01-04</v>
      </c>
      <c r="G282" s="3" t="str">
        <f>IF(G20&lt;&gt;"",G20,"")</f>
        <v>Благоустройство</v>
      </c>
      <c r="H282" s="3">
        <v>0</v>
      </c>
      <c r="I282" s="3"/>
      <c r="J282" s="3"/>
      <c r="K282" s="3"/>
      <c r="L282" s="3"/>
      <c r="M282" s="3"/>
      <c r="N282" s="3"/>
      <c r="O282" s="3">
        <f t="shared" ref="O282:T282" si="332">ROUND(O97+O252+AB282,2)</f>
        <v>903071.15</v>
      </c>
      <c r="P282" s="3">
        <f t="shared" si="332"/>
        <v>748219.78</v>
      </c>
      <c r="Q282" s="3">
        <f t="shared" si="332"/>
        <v>123726.71</v>
      </c>
      <c r="R282" s="3">
        <f t="shared" si="332"/>
        <v>11253.57</v>
      </c>
      <c r="S282" s="3">
        <f t="shared" si="332"/>
        <v>31124.66</v>
      </c>
      <c r="T282" s="3">
        <f t="shared" si="332"/>
        <v>0</v>
      </c>
      <c r="U282" s="3">
        <f>U97+U252+AH282</f>
        <v>2806.40689656</v>
      </c>
      <c r="V282" s="3">
        <f>V97+V252+AI282</f>
        <v>0</v>
      </c>
      <c r="W282" s="3">
        <f>ROUND(W97+W252+AJ282,2)</f>
        <v>0</v>
      </c>
      <c r="X282" s="3">
        <f>ROUND(X97+X252+AK282,2)</f>
        <v>49345.01</v>
      </c>
      <c r="Y282" s="3">
        <f>ROUND(Y97+Y252+AL282,2)</f>
        <v>29929.119999999999</v>
      </c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>
        <f t="shared" ref="AO282:BD282" si="333">ROUND(AO97+AO252+BX282,2)</f>
        <v>0</v>
      </c>
      <c r="AP282" s="3">
        <f t="shared" si="333"/>
        <v>0</v>
      </c>
      <c r="AQ282" s="3">
        <f t="shared" si="333"/>
        <v>0</v>
      </c>
      <c r="AR282" s="3">
        <f t="shared" si="333"/>
        <v>1002039.07</v>
      </c>
      <c r="AS282" s="3">
        <f t="shared" si="333"/>
        <v>1002039.07</v>
      </c>
      <c r="AT282" s="3">
        <f t="shared" si="333"/>
        <v>0</v>
      </c>
      <c r="AU282" s="3">
        <f t="shared" si="333"/>
        <v>0</v>
      </c>
      <c r="AV282" s="3">
        <f t="shared" si="333"/>
        <v>748219.78</v>
      </c>
      <c r="AW282" s="3">
        <f t="shared" si="333"/>
        <v>748219.78</v>
      </c>
      <c r="AX282" s="3">
        <f t="shared" si="333"/>
        <v>0</v>
      </c>
      <c r="AY282" s="3">
        <f t="shared" si="333"/>
        <v>748219.78</v>
      </c>
      <c r="AZ282" s="3">
        <f t="shared" si="333"/>
        <v>0</v>
      </c>
      <c r="BA282" s="3">
        <f t="shared" si="333"/>
        <v>0</v>
      </c>
      <c r="BB282" s="3">
        <f t="shared" si="333"/>
        <v>0</v>
      </c>
      <c r="BC282" s="3">
        <f t="shared" si="333"/>
        <v>0</v>
      </c>
      <c r="BD282" s="3">
        <f t="shared" si="333"/>
        <v>0</v>
      </c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  <c r="BY282" s="3"/>
      <c r="BZ282" s="3"/>
      <c r="CA282" s="3"/>
      <c r="CB282" s="3"/>
      <c r="CC282" s="3"/>
      <c r="CD282" s="3"/>
      <c r="CE282" s="3"/>
      <c r="CF282" s="3"/>
      <c r="CG282" s="3"/>
      <c r="CH282" s="3"/>
      <c r="CI282" s="3"/>
      <c r="CJ282" s="3"/>
      <c r="CK282" s="3"/>
      <c r="CL282" s="3"/>
      <c r="CM282" s="3"/>
      <c r="CN282" s="3"/>
      <c r="CO282" s="3"/>
      <c r="CP282" s="3"/>
      <c r="CQ282" s="3"/>
      <c r="CR282" s="3"/>
      <c r="CS282" s="3"/>
      <c r="CT282" s="3"/>
      <c r="CU282" s="3"/>
      <c r="CV282" s="3"/>
      <c r="CW282" s="3"/>
      <c r="CX282" s="3"/>
      <c r="CY282" s="3"/>
      <c r="CZ282" s="3"/>
      <c r="DA282" s="3"/>
      <c r="DB282" s="3"/>
      <c r="DC282" s="3"/>
      <c r="DD282" s="3"/>
      <c r="DE282" s="3"/>
      <c r="DF282" s="3"/>
      <c r="DG282" s="4">
        <f t="shared" ref="DG282:DL282" si="334">ROUND(DG97+DG252+DT282,2)</f>
        <v>12215766.84</v>
      </c>
      <c r="DH282" s="4">
        <f t="shared" si="334"/>
        <v>9088956.0800000001</v>
      </c>
      <c r="DI282" s="4">
        <f t="shared" si="334"/>
        <v>1674222.9</v>
      </c>
      <c r="DJ282" s="4">
        <f t="shared" si="334"/>
        <v>525204.13</v>
      </c>
      <c r="DK282" s="4">
        <f t="shared" si="334"/>
        <v>1452587.86</v>
      </c>
      <c r="DL282" s="4">
        <f t="shared" si="334"/>
        <v>0</v>
      </c>
      <c r="DM282" s="4">
        <f>DM97+DM252+DZ282</f>
        <v>2806.40689656</v>
      </c>
      <c r="DN282" s="4">
        <f>DN97+DN252+EA282</f>
        <v>0</v>
      </c>
      <c r="DO282" s="4">
        <f>ROUND(DO97+DO252+EB282,2)</f>
        <v>0</v>
      </c>
      <c r="DP282" s="4">
        <f>ROUND(DP97+DP252+EC282,2)</f>
        <v>1631315.29</v>
      </c>
      <c r="DQ282" s="4">
        <f>ROUND(DQ97+DQ252+ED282,2)</f>
        <v>723897.35</v>
      </c>
      <c r="DR282" s="4"/>
      <c r="DS282" s="4"/>
      <c r="DT282" s="4"/>
      <c r="DU282" s="4"/>
      <c r="DV282" s="4"/>
      <c r="DW282" s="4"/>
      <c r="DX282" s="4"/>
      <c r="DY282" s="4"/>
      <c r="DZ282" s="4"/>
      <c r="EA282" s="4"/>
      <c r="EB282" s="4"/>
      <c r="EC282" s="4"/>
      <c r="ED282" s="4"/>
      <c r="EE282" s="4"/>
      <c r="EF282" s="4"/>
      <c r="EG282" s="4">
        <f t="shared" ref="EG282:EV282" si="335">ROUND(EG97+EG252+FP282,2)</f>
        <v>0</v>
      </c>
      <c r="EH282" s="4">
        <f t="shared" si="335"/>
        <v>0</v>
      </c>
      <c r="EI282" s="4">
        <f t="shared" si="335"/>
        <v>0</v>
      </c>
      <c r="EJ282" s="4">
        <f t="shared" si="335"/>
        <v>15411306.1</v>
      </c>
      <c r="EK282" s="4">
        <f t="shared" si="335"/>
        <v>15411306.1</v>
      </c>
      <c r="EL282" s="4">
        <f t="shared" si="335"/>
        <v>0</v>
      </c>
      <c r="EM282" s="4">
        <f t="shared" si="335"/>
        <v>0</v>
      </c>
      <c r="EN282" s="4">
        <f t="shared" si="335"/>
        <v>9088956.0800000001</v>
      </c>
      <c r="EO282" s="4">
        <f t="shared" si="335"/>
        <v>9088956.0800000001</v>
      </c>
      <c r="EP282" s="4">
        <f t="shared" si="335"/>
        <v>0</v>
      </c>
      <c r="EQ282" s="4">
        <f t="shared" si="335"/>
        <v>9088956.0800000001</v>
      </c>
      <c r="ER282" s="4">
        <f t="shared" si="335"/>
        <v>0</v>
      </c>
      <c r="ES282" s="4">
        <f t="shared" si="335"/>
        <v>0</v>
      </c>
      <c r="ET282" s="4">
        <f t="shared" si="335"/>
        <v>0</v>
      </c>
      <c r="EU282" s="4">
        <f t="shared" si="335"/>
        <v>0</v>
      </c>
      <c r="EV282" s="4">
        <f t="shared" si="335"/>
        <v>0</v>
      </c>
      <c r="EW282" s="4"/>
      <c r="EX282" s="4"/>
      <c r="EY282" s="4"/>
      <c r="EZ282" s="4"/>
      <c r="FA282" s="4"/>
      <c r="FB282" s="4"/>
      <c r="FC282" s="4"/>
      <c r="FD282" s="4"/>
      <c r="FE282" s="4"/>
      <c r="FF282" s="4"/>
      <c r="FG282" s="4"/>
      <c r="FH282" s="4"/>
      <c r="FI282" s="4"/>
      <c r="FJ282" s="4"/>
      <c r="FK282" s="4"/>
      <c r="FL282" s="4"/>
      <c r="FM282" s="4"/>
      <c r="FN282" s="4"/>
      <c r="FO282" s="4"/>
      <c r="FP282" s="4"/>
      <c r="FQ282" s="4"/>
      <c r="FR282" s="4"/>
      <c r="FS282" s="4"/>
      <c r="FT282" s="4"/>
      <c r="FU282" s="4"/>
      <c r="FV282" s="4"/>
      <c r="FW282" s="4"/>
      <c r="FX282" s="4"/>
      <c r="FY282" s="4"/>
      <c r="FZ282" s="4"/>
      <c r="GA282" s="4"/>
      <c r="GB282" s="4"/>
      <c r="GC282" s="4"/>
      <c r="GD282" s="4"/>
      <c r="GE282" s="4"/>
      <c r="GF282" s="4"/>
      <c r="GG282" s="4"/>
      <c r="GH282" s="4"/>
      <c r="GI282" s="4"/>
      <c r="GJ282" s="4"/>
      <c r="GK282" s="4"/>
      <c r="GL282" s="4"/>
      <c r="GM282" s="4"/>
      <c r="GN282" s="4"/>
      <c r="GO282" s="4"/>
      <c r="GP282" s="4"/>
      <c r="GQ282" s="4"/>
      <c r="GR282" s="4"/>
      <c r="GS282" s="4"/>
      <c r="GT282" s="4"/>
      <c r="GU282" s="4"/>
      <c r="GV282" s="4"/>
      <c r="GW282" s="4"/>
      <c r="GX282" s="4">
        <v>0</v>
      </c>
    </row>
    <row r="284" spans="1:206">
      <c r="A284" s="5">
        <v>50</v>
      </c>
      <c r="B284" s="5">
        <v>0</v>
      </c>
      <c r="C284" s="5">
        <v>0</v>
      </c>
      <c r="D284" s="5">
        <v>1</v>
      </c>
      <c r="E284" s="5">
        <v>201</v>
      </c>
      <c r="F284" s="5">
        <f>ROUND(Source!O282,O284)</f>
        <v>903071.15</v>
      </c>
      <c r="G284" s="5" t="s">
        <v>66</v>
      </c>
      <c r="H284" s="5" t="s">
        <v>67</v>
      </c>
      <c r="I284" s="5"/>
      <c r="J284" s="5"/>
      <c r="K284" s="5">
        <v>201</v>
      </c>
      <c r="L284" s="5">
        <v>1</v>
      </c>
      <c r="M284" s="5">
        <v>3</v>
      </c>
      <c r="N284" s="5" t="s">
        <v>6</v>
      </c>
      <c r="O284" s="5">
        <v>2</v>
      </c>
      <c r="P284" s="5">
        <f>ROUND(Source!DG282,O284)</f>
        <v>12215766.84</v>
      </c>
      <c r="Q284" s="5"/>
      <c r="R284" s="5"/>
      <c r="S284" s="5"/>
      <c r="T284" s="5"/>
      <c r="U284" s="5"/>
      <c r="V284" s="5"/>
      <c r="W284" s="5">
        <v>903071.15</v>
      </c>
      <c r="X284" s="5">
        <v>1</v>
      </c>
      <c r="Y284" s="5">
        <v>903071.15</v>
      </c>
      <c r="Z284" s="5">
        <v>12215766.84</v>
      </c>
      <c r="AA284" s="5">
        <v>1</v>
      </c>
      <c r="AB284" s="5">
        <v>12215766.84</v>
      </c>
    </row>
    <row r="285" spans="1:206">
      <c r="A285" s="5">
        <v>50</v>
      </c>
      <c r="B285" s="5">
        <v>0</v>
      </c>
      <c r="C285" s="5">
        <v>0</v>
      </c>
      <c r="D285" s="5">
        <v>1</v>
      </c>
      <c r="E285" s="5">
        <v>202</v>
      </c>
      <c r="F285" s="5">
        <f>ROUND(Source!P282,O285)</f>
        <v>748219.78</v>
      </c>
      <c r="G285" s="5" t="s">
        <v>68</v>
      </c>
      <c r="H285" s="5" t="s">
        <v>69</v>
      </c>
      <c r="I285" s="5"/>
      <c r="J285" s="5"/>
      <c r="K285" s="5">
        <v>202</v>
      </c>
      <c r="L285" s="5">
        <v>2</v>
      </c>
      <c r="M285" s="5">
        <v>3</v>
      </c>
      <c r="N285" s="5" t="s">
        <v>6</v>
      </c>
      <c r="O285" s="5">
        <v>2</v>
      </c>
      <c r="P285" s="5">
        <f>ROUND(Source!DH282,O285)</f>
        <v>9088956.0800000001</v>
      </c>
      <c r="Q285" s="5"/>
      <c r="R285" s="5"/>
      <c r="S285" s="5"/>
      <c r="T285" s="5"/>
      <c r="U285" s="5"/>
      <c r="V285" s="5"/>
      <c r="W285" s="5">
        <v>748219.78</v>
      </c>
      <c r="X285" s="5">
        <v>1</v>
      </c>
      <c r="Y285" s="5">
        <v>748219.78</v>
      </c>
      <c r="Z285" s="5">
        <v>9088956.0800000001</v>
      </c>
      <c r="AA285" s="5">
        <v>1</v>
      </c>
      <c r="AB285" s="5">
        <v>9088956.0800000001</v>
      </c>
    </row>
    <row r="286" spans="1:206">
      <c r="A286" s="5">
        <v>50</v>
      </c>
      <c r="B286" s="5">
        <v>0</v>
      </c>
      <c r="C286" s="5">
        <v>0</v>
      </c>
      <c r="D286" s="5">
        <v>1</v>
      </c>
      <c r="E286" s="5">
        <v>222</v>
      </c>
      <c r="F286" s="5">
        <f>ROUND(Source!AO282,O286)</f>
        <v>0</v>
      </c>
      <c r="G286" s="5" t="s">
        <v>70</v>
      </c>
      <c r="H286" s="5" t="s">
        <v>71</v>
      </c>
      <c r="I286" s="5"/>
      <c r="J286" s="5"/>
      <c r="K286" s="5">
        <v>222</v>
      </c>
      <c r="L286" s="5">
        <v>3</v>
      </c>
      <c r="M286" s="5">
        <v>3</v>
      </c>
      <c r="N286" s="5" t="s">
        <v>6</v>
      </c>
      <c r="O286" s="5">
        <v>2</v>
      </c>
      <c r="P286" s="5">
        <f>ROUND(Source!EG282,O286)</f>
        <v>0</v>
      </c>
      <c r="Q286" s="5"/>
      <c r="R286" s="5"/>
      <c r="S286" s="5"/>
      <c r="T286" s="5"/>
      <c r="U286" s="5"/>
      <c r="V286" s="5"/>
      <c r="W286" s="5">
        <v>0</v>
      </c>
      <c r="X286" s="5">
        <v>1</v>
      </c>
      <c r="Y286" s="5">
        <v>0</v>
      </c>
      <c r="Z286" s="5">
        <v>0</v>
      </c>
      <c r="AA286" s="5">
        <v>1</v>
      </c>
      <c r="AB286" s="5">
        <v>0</v>
      </c>
    </row>
    <row r="287" spans="1:206">
      <c r="A287" s="5">
        <v>50</v>
      </c>
      <c r="B287" s="5">
        <v>0</v>
      </c>
      <c r="C287" s="5">
        <v>0</v>
      </c>
      <c r="D287" s="5">
        <v>1</v>
      </c>
      <c r="E287" s="5">
        <v>225</v>
      </c>
      <c r="F287" s="5">
        <f>ROUND(Source!AV282,O287)</f>
        <v>748219.78</v>
      </c>
      <c r="G287" s="5" t="s">
        <v>72</v>
      </c>
      <c r="H287" s="5" t="s">
        <v>73</v>
      </c>
      <c r="I287" s="5"/>
      <c r="J287" s="5"/>
      <c r="K287" s="5">
        <v>225</v>
      </c>
      <c r="L287" s="5">
        <v>4</v>
      </c>
      <c r="M287" s="5">
        <v>3</v>
      </c>
      <c r="N287" s="5" t="s">
        <v>6</v>
      </c>
      <c r="O287" s="5">
        <v>2</v>
      </c>
      <c r="P287" s="5">
        <f>ROUND(Source!EN282,O287)</f>
        <v>9088956.0800000001</v>
      </c>
      <c r="Q287" s="5"/>
      <c r="R287" s="5"/>
      <c r="S287" s="5"/>
      <c r="T287" s="5"/>
      <c r="U287" s="5"/>
      <c r="V287" s="5"/>
      <c r="W287" s="5">
        <v>748219.78</v>
      </c>
      <c r="X287" s="5">
        <v>1</v>
      </c>
      <c r="Y287" s="5">
        <v>748219.78</v>
      </c>
      <c r="Z287" s="5">
        <v>9088956.0800000001</v>
      </c>
      <c r="AA287" s="5">
        <v>1</v>
      </c>
      <c r="AB287" s="5">
        <v>9088956.0800000001</v>
      </c>
    </row>
    <row r="288" spans="1:206">
      <c r="A288" s="5">
        <v>50</v>
      </c>
      <c r="B288" s="5">
        <v>0</v>
      </c>
      <c r="C288" s="5">
        <v>0</v>
      </c>
      <c r="D288" s="5">
        <v>1</v>
      </c>
      <c r="E288" s="5">
        <v>226</v>
      </c>
      <c r="F288" s="5">
        <f>ROUND(Source!AW282,O288)</f>
        <v>748219.78</v>
      </c>
      <c r="G288" s="5" t="s">
        <v>74</v>
      </c>
      <c r="H288" s="5" t="s">
        <v>75</v>
      </c>
      <c r="I288" s="5"/>
      <c r="J288" s="5"/>
      <c r="K288" s="5">
        <v>226</v>
      </c>
      <c r="L288" s="5">
        <v>5</v>
      </c>
      <c r="M288" s="5">
        <v>3</v>
      </c>
      <c r="N288" s="5" t="s">
        <v>6</v>
      </c>
      <c r="O288" s="5">
        <v>2</v>
      </c>
      <c r="P288" s="5">
        <f>ROUND(Source!EO282,O288)</f>
        <v>9088956.0800000001</v>
      </c>
      <c r="Q288" s="5"/>
      <c r="R288" s="5"/>
      <c r="S288" s="5"/>
      <c r="T288" s="5"/>
      <c r="U288" s="5"/>
      <c r="V288" s="5"/>
      <c r="W288" s="5">
        <v>748219.78</v>
      </c>
      <c r="X288" s="5">
        <v>1</v>
      </c>
      <c r="Y288" s="5">
        <v>748219.78</v>
      </c>
      <c r="Z288" s="5">
        <v>9088956.0800000001</v>
      </c>
      <c r="AA288" s="5">
        <v>1</v>
      </c>
      <c r="AB288" s="5">
        <v>9088956.0800000001</v>
      </c>
    </row>
    <row r="289" spans="1:28">
      <c r="A289" s="5">
        <v>50</v>
      </c>
      <c r="B289" s="5">
        <v>0</v>
      </c>
      <c r="C289" s="5">
        <v>0</v>
      </c>
      <c r="D289" s="5">
        <v>1</v>
      </c>
      <c r="E289" s="5">
        <v>227</v>
      </c>
      <c r="F289" s="5">
        <f>ROUND(Source!AX282,O289)</f>
        <v>0</v>
      </c>
      <c r="G289" s="5" t="s">
        <v>76</v>
      </c>
      <c r="H289" s="5" t="s">
        <v>77</v>
      </c>
      <c r="I289" s="5"/>
      <c r="J289" s="5"/>
      <c r="K289" s="5">
        <v>227</v>
      </c>
      <c r="L289" s="5">
        <v>6</v>
      </c>
      <c r="M289" s="5">
        <v>3</v>
      </c>
      <c r="N289" s="5" t="s">
        <v>6</v>
      </c>
      <c r="O289" s="5">
        <v>2</v>
      </c>
      <c r="P289" s="5">
        <f>ROUND(Source!EP282,O289)</f>
        <v>0</v>
      </c>
      <c r="Q289" s="5"/>
      <c r="R289" s="5"/>
      <c r="S289" s="5"/>
      <c r="T289" s="5"/>
      <c r="U289" s="5"/>
      <c r="V289" s="5"/>
      <c r="W289" s="5">
        <v>0</v>
      </c>
      <c r="X289" s="5">
        <v>1</v>
      </c>
      <c r="Y289" s="5">
        <v>0</v>
      </c>
      <c r="Z289" s="5">
        <v>0</v>
      </c>
      <c r="AA289" s="5">
        <v>1</v>
      </c>
      <c r="AB289" s="5">
        <v>0</v>
      </c>
    </row>
    <row r="290" spans="1:28">
      <c r="A290" s="5">
        <v>50</v>
      </c>
      <c r="B290" s="5">
        <v>0</v>
      </c>
      <c r="C290" s="5">
        <v>0</v>
      </c>
      <c r="D290" s="5">
        <v>1</v>
      </c>
      <c r="E290" s="5">
        <v>228</v>
      </c>
      <c r="F290" s="5">
        <f>ROUND(Source!AY282,O290)</f>
        <v>748219.78</v>
      </c>
      <c r="G290" s="5" t="s">
        <v>78</v>
      </c>
      <c r="H290" s="5" t="s">
        <v>79</v>
      </c>
      <c r="I290" s="5"/>
      <c r="J290" s="5"/>
      <c r="K290" s="5">
        <v>228</v>
      </c>
      <c r="L290" s="5">
        <v>7</v>
      </c>
      <c r="M290" s="5">
        <v>3</v>
      </c>
      <c r="N290" s="5" t="s">
        <v>6</v>
      </c>
      <c r="O290" s="5">
        <v>2</v>
      </c>
      <c r="P290" s="5">
        <f>ROUND(Source!EQ282,O290)</f>
        <v>9088956.0800000001</v>
      </c>
      <c r="Q290" s="5"/>
      <c r="R290" s="5"/>
      <c r="S290" s="5"/>
      <c r="T290" s="5"/>
      <c r="U290" s="5"/>
      <c r="V290" s="5"/>
      <c r="W290" s="5">
        <v>748219.78</v>
      </c>
      <c r="X290" s="5">
        <v>1</v>
      </c>
      <c r="Y290" s="5">
        <v>748219.78</v>
      </c>
      <c r="Z290" s="5">
        <v>9088956.0800000001</v>
      </c>
      <c r="AA290" s="5">
        <v>1</v>
      </c>
      <c r="AB290" s="5">
        <v>9088956.0800000001</v>
      </c>
    </row>
    <row r="291" spans="1:28">
      <c r="A291" s="5">
        <v>50</v>
      </c>
      <c r="B291" s="5">
        <v>0</v>
      </c>
      <c r="C291" s="5">
        <v>0</v>
      </c>
      <c r="D291" s="5">
        <v>1</v>
      </c>
      <c r="E291" s="5">
        <v>216</v>
      </c>
      <c r="F291" s="5">
        <f>ROUND(Source!AP282,O291)</f>
        <v>0</v>
      </c>
      <c r="G291" s="5" t="s">
        <v>80</v>
      </c>
      <c r="H291" s="5" t="s">
        <v>81</v>
      </c>
      <c r="I291" s="5"/>
      <c r="J291" s="5"/>
      <c r="K291" s="5">
        <v>216</v>
      </c>
      <c r="L291" s="5">
        <v>8</v>
      </c>
      <c r="M291" s="5">
        <v>3</v>
      </c>
      <c r="N291" s="5" t="s">
        <v>6</v>
      </c>
      <c r="O291" s="5">
        <v>2</v>
      </c>
      <c r="P291" s="5">
        <f>ROUND(Source!EH282,O291)</f>
        <v>0</v>
      </c>
      <c r="Q291" s="5"/>
      <c r="R291" s="5"/>
      <c r="S291" s="5"/>
      <c r="T291" s="5"/>
      <c r="U291" s="5"/>
      <c r="V291" s="5"/>
      <c r="W291" s="5">
        <v>0</v>
      </c>
      <c r="X291" s="5">
        <v>1</v>
      </c>
      <c r="Y291" s="5">
        <v>0</v>
      </c>
      <c r="Z291" s="5">
        <v>0</v>
      </c>
      <c r="AA291" s="5">
        <v>1</v>
      </c>
      <c r="AB291" s="5">
        <v>0</v>
      </c>
    </row>
    <row r="292" spans="1:28">
      <c r="A292" s="5">
        <v>50</v>
      </c>
      <c r="B292" s="5">
        <v>0</v>
      </c>
      <c r="C292" s="5">
        <v>0</v>
      </c>
      <c r="D292" s="5">
        <v>1</v>
      </c>
      <c r="E292" s="5">
        <v>223</v>
      </c>
      <c r="F292" s="5">
        <f>ROUND(Source!AQ282,O292)</f>
        <v>0</v>
      </c>
      <c r="G292" s="5" t="s">
        <v>82</v>
      </c>
      <c r="H292" s="5" t="s">
        <v>83</v>
      </c>
      <c r="I292" s="5"/>
      <c r="J292" s="5"/>
      <c r="K292" s="5">
        <v>223</v>
      </c>
      <c r="L292" s="5">
        <v>9</v>
      </c>
      <c r="M292" s="5">
        <v>3</v>
      </c>
      <c r="N292" s="5" t="s">
        <v>6</v>
      </c>
      <c r="O292" s="5">
        <v>2</v>
      </c>
      <c r="P292" s="5">
        <f>ROUND(Source!EI282,O292)</f>
        <v>0</v>
      </c>
      <c r="Q292" s="5"/>
      <c r="R292" s="5"/>
      <c r="S292" s="5"/>
      <c r="T292" s="5"/>
      <c r="U292" s="5"/>
      <c r="V292" s="5"/>
      <c r="W292" s="5">
        <v>0</v>
      </c>
      <c r="X292" s="5">
        <v>1</v>
      </c>
      <c r="Y292" s="5">
        <v>0</v>
      </c>
      <c r="Z292" s="5">
        <v>0</v>
      </c>
      <c r="AA292" s="5">
        <v>1</v>
      </c>
      <c r="AB292" s="5">
        <v>0</v>
      </c>
    </row>
    <row r="293" spans="1:28">
      <c r="A293" s="5">
        <v>50</v>
      </c>
      <c r="B293" s="5">
        <v>0</v>
      </c>
      <c r="C293" s="5">
        <v>0</v>
      </c>
      <c r="D293" s="5">
        <v>1</v>
      </c>
      <c r="E293" s="5">
        <v>229</v>
      </c>
      <c r="F293" s="5">
        <f>ROUND(Source!AZ282,O293)</f>
        <v>0</v>
      </c>
      <c r="G293" s="5" t="s">
        <v>84</v>
      </c>
      <c r="H293" s="5" t="s">
        <v>85</v>
      </c>
      <c r="I293" s="5"/>
      <c r="J293" s="5"/>
      <c r="K293" s="5">
        <v>229</v>
      </c>
      <c r="L293" s="5">
        <v>10</v>
      </c>
      <c r="M293" s="5">
        <v>3</v>
      </c>
      <c r="N293" s="5" t="s">
        <v>6</v>
      </c>
      <c r="O293" s="5">
        <v>2</v>
      </c>
      <c r="P293" s="5">
        <f>ROUND(Source!ER282,O293)</f>
        <v>0</v>
      </c>
      <c r="Q293" s="5"/>
      <c r="R293" s="5"/>
      <c r="S293" s="5"/>
      <c r="T293" s="5"/>
      <c r="U293" s="5"/>
      <c r="V293" s="5"/>
      <c r="W293" s="5">
        <v>0</v>
      </c>
      <c r="X293" s="5">
        <v>1</v>
      </c>
      <c r="Y293" s="5">
        <v>0</v>
      </c>
      <c r="Z293" s="5">
        <v>0</v>
      </c>
      <c r="AA293" s="5">
        <v>1</v>
      </c>
      <c r="AB293" s="5">
        <v>0</v>
      </c>
    </row>
    <row r="294" spans="1:28">
      <c r="A294" s="5">
        <v>50</v>
      </c>
      <c r="B294" s="5">
        <v>0</v>
      </c>
      <c r="C294" s="5">
        <v>0</v>
      </c>
      <c r="D294" s="5">
        <v>1</v>
      </c>
      <c r="E294" s="5">
        <v>203</v>
      </c>
      <c r="F294" s="5">
        <f>ROUND(Source!Q282,O294)</f>
        <v>123726.71</v>
      </c>
      <c r="G294" s="5" t="s">
        <v>86</v>
      </c>
      <c r="H294" s="5" t="s">
        <v>87</v>
      </c>
      <c r="I294" s="5"/>
      <c r="J294" s="5"/>
      <c r="K294" s="5">
        <v>203</v>
      </c>
      <c r="L294" s="5">
        <v>11</v>
      </c>
      <c r="M294" s="5">
        <v>3</v>
      </c>
      <c r="N294" s="5" t="s">
        <v>6</v>
      </c>
      <c r="O294" s="5">
        <v>2</v>
      </c>
      <c r="P294" s="5">
        <f>ROUND(Source!DI282,O294)</f>
        <v>1674222.9</v>
      </c>
      <c r="Q294" s="5"/>
      <c r="R294" s="5"/>
      <c r="S294" s="5"/>
      <c r="T294" s="5"/>
      <c r="U294" s="5"/>
      <c r="V294" s="5"/>
      <c r="W294" s="5">
        <v>123726.71</v>
      </c>
      <c r="X294" s="5">
        <v>1</v>
      </c>
      <c r="Y294" s="5">
        <v>123726.71</v>
      </c>
      <c r="Z294" s="5">
        <v>1674222.9</v>
      </c>
      <c r="AA294" s="5">
        <v>1</v>
      </c>
      <c r="AB294" s="5">
        <v>1674222.9</v>
      </c>
    </row>
    <row r="295" spans="1:28">
      <c r="A295" s="5">
        <v>50</v>
      </c>
      <c r="B295" s="5">
        <v>0</v>
      </c>
      <c r="C295" s="5">
        <v>0</v>
      </c>
      <c r="D295" s="5">
        <v>1</v>
      </c>
      <c r="E295" s="5">
        <v>231</v>
      </c>
      <c r="F295" s="5">
        <f>ROUND(Source!BB282,O295)</f>
        <v>0</v>
      </c>
      <c r="G295" s="5" t="s">
        <v>88</v>
      </c>
      <c r="H295" s="5" t="s">
        <v>89</v>
      </c>
      <c r="I295" s="5"/>
      <c r="J295" s="5"/>
      <c r="K295" s="5">
        <v>231</v>
      </c>
      <c r="L295" s="5">
        <v>12</v>
      </c>
      <c r="M295" s="5">
        <v>3</v>
      </c>
      <c r="N295" s="5" t="s">
        <v>6</v>
      </c>
      <c r="O295" s="5">
        <v>2</v>
      </c>
      <c r="P295" s="5">
        <f>ROUND(Source!ET282,O295)</f>
        <v>0</v>
      </c>
      <c r="Q295" s="5"/>
      <c r="R295" s="5"/>
      <c r="S295" s="5"/>
      <c r="T295" s="5"/>
      <c r="U295" s="5"/>
      <c r="V295" s="5"/>
      <c r="W295" s="5">
        <v>0</v>
      </c>
      <c r="X295" s="5">
        <v>1</v>
      </c>
      <c r="Y295" s="5">
        <v>0</v>
      </c>
      <c r="Z295" s="5">
        <v>0</v>
      </c>
      <c r="AA295" s="5">
        <v>1</v>
      </c>
      <c r="AB295" s="5">
        <v>0</v>
      </c>
    </row>
    <row r="296" spans="1:28">
      <c r="A296" s="5">
        <v>50</v>
      </c>
      <c r="B296" s="5">
        <v>0</v>
      </c>
      <c r="C296" s="5">
        <v>0</v>
      </c>
      <c r="D296" s="5">
        <v>1</v>
      </c>
      <c r="E296" s="5">
        <v>204</v>
      </c>
      <c r="F296" s="5">
        <f>ROUND(Source!R282,O296)</f>
        <v>11253.57</v>
      </c>
      <c r="G296" s="5" t="s">
        <v>90</v>
      </c>
      <c r="H296" s="5" t="s">
        <v>91</v>
      </c>
      <c r="I296" s="5"/>
      <c r="J296" s="5"/>
      <c r="K296" s="5">
        <v>204</v>
      </c>
      <c r="L296" s="5">
        <v>13</v>
      </c>
      <c r="M296" s="5">
        <v>3</v>
      </c>
      <c r="N296" s="5" t="s">
        <v>6</v>
      </c>
      <c r="O296" s="5">
        <v>2</v>
      </c>
      <c r="P296" s="5">
        <f>ROUND(Source!DJ282,O296)</f>
        <v>525204.13</v>
      </c>
      <c r="Q296" s="5"/>
      <c r="R296" s="5"/>
      <c r="S296" s="5"/>
      <c r="T296" s="5"/>
      <c r="U296" s="5"/>
      <c r="V296" s="5"/>
      <c r="W296" s="5">
        <v>11253.57</v>
      </c>
      <c r="X296" s="5">
        <v>1</v>
      </c>
      <c r="Y296" s="5">
        <v>11253.57</v>
      </c>
      <c r="Z296" s="5">
        <v>525204.13</v>
      </c>
      <c r="AA296" s="5">
        <v>1</v>
      </c>
      <c r="AB296" s="5">
        <v>525204.13</v>
      </c>
    </row>
    <row r="297" spans="1:28">
      <c r="A297" s="5">
        <v>50</v>
      </c>
      <c r="B297" s="5">
        <v>0</v>
      </c>
      <c r="C297" s="5">
        <v>0</v>
      </c>
      <c r="D297" s="5">
        <v>1</v>
      </c>
      <c r="E297" s="5">
        <v>205</v>
      </c>
      <c r="F297" s="5">
        <f>ROUND(Source!S282,O297)</f>
        <v>31124.66</v>
      </c>
      <c r="G297" s="5" t="s">
        <v>92</v>
      </c>
      <c r="H297" s="5" t="s">
        <v>93</v>
      </c>
      <c r="I297" s="5"/>
      <c r="J297" s="5"/>
      <c r="K297" s="5">
        <v>205</v>
      </c>
      <c r="L297" s="5">
        <v>14</v>
      </c>
      <c r="M297" s="5">
        <v>3</v>
      </c>
      <c r="N297" s="5" t="s">
        <v>6</v>
      </c>
      <c r="O297" s="5">
        <v>2</v>
      </c>
      <c r="P297" s="5">
        <f>ROUND(Source!DK282,O297)</f>
        <v>1452587.86</v>
      </c>
      <c r="Q297" s="5"/>
      <c r="R297" s="5"/>
      <c r="S297" s="5"/>
      <c r="T297" s="5"/>
      <c r="U297" s="5"/>
      <c r="V297" s="5"/>
      <c r="W297" s="5">
        <v>31124.66</v>
      </c>
      <c r="X297" s="5">
        <v>1</v>
      </c>
      <c r="Y297" s="5">
        <v>31124.66</v>
      </c>
      <c r="Z297" s="5">
        <v>1452587.86</v>
      </c>
      <c r="AA297" s="5">
        <v>1</v>
      </c>
      <c r="AB297" s="5">
        <v>1452587.86</v>
      </c>
    </row>
    <row r="298" spans="1:28">
      <c r="A298" s="5">
        <v>50</v>
      </c>
      <c r="B298" s="5">
        <v>0</v>
      </c>
      <c r="C298" s="5">
        <v>0</v>
      </c>
      <c r="D298" s="5">
        <v>1</v>
      </c>
      <c r="E298" s="5">
        <v>232</v>
      </c>
      <c r="F298" s="5">
        <f>ROUND(Source!BC282,O298)</f>
        <v>0</v>
      </c>
      <c r="G298" s="5" t="s">
        <v>94</v>
      </c>
      <c r="H298" s="5" t="s">
        <v>95</v>
      </c>
      <c r="I298" s="5"/>
      <c r="J298" s="5"/>
      <c r="K298" s="5">
        <v>232</v>
      </c>
      <c r="L298" s="5">
        <v>15</v>
      </c>
      <c r="M298" s="5">
        <v>3</v>
      </c>
      <c r="N298" s="5" t="s">
        <v>6</v>
      </c>
      <c r="O298" s="5">
        <v>2</v>
      </c>
      <c r="P298" s="5">
        <f>ROUND(Source!EU282,O298)</f>
        <v>0</v>
      </c>
      <c r="Q298" s="5"/>
      <c r="R298" s="5"/>
      <c r="S298" s="5"/>
      <c r="T298" s="5"/>
      <c r="U298" s="5"/>
      <c r="V298" s="5"/>
      <c r="W298" s="5">
        <v>0</v>
      </c>
      <c r="X298" s="5">
        <v>1</v>
      </c>
      <c r="Y298" s="5">
        <v>0</v>
      </c>
      <c r="Z298" s="5">
        <v>0</v>
      </c>
      <c r="AA298" s="5">
        <v>1</v>
      </c>
      <c r="AB298" s="5">
        <v>0</v>
      </c>
    </row>
    <row r="299" spans="1:28">
      <c r="A299" s="5">
        <v>50</v>
      </c>
      <c r="B299" s="5">
        <v>0</v>
      </c>
      <c r="C299" s="5">
        <v>0</v>
      </c>
      <c r="D299" s="5">
        <v>1</v>
      </c>
      <c r="E299" s="5">
        <v>214</v>
      </c>
      <c r="F299" s="5">
        <f>ROUND(Source!AS282,O299)</f>
        <v>1002039.07</v>
      </c>
      <c r="G299" s="5" t="s">
        <v>96</v>
      </c>
      <c r="H299" s="5" t="s">
        <v>97</v>
      </c>
      <c r="I299" s="5"/>
      <c r="J299" s="5"/>
      <c r="K299" s="5">
        <v>214</v>
      </c>
      <c r="L299" s="5">
        <v>16</v>
      </c>
      <c r="M299" s="5">
        <v>3</v>
      </c>
      <c r="N299" s="5" t="s">
        <v>6</v>
      </c>
      <c r="O299" s="5">
        <v>2</v>
      </c>
      <c r="P299" s="5">
        <f>ROUND(Source!EK282,O299)</f>
        <v>15411306.1</v>
      </c>
      <c r="Q299" s="5"/>
      <c r="R299" s="5"/>
      <c r="S299" s="5"/>
      <c r="T299" s="5"/>
      <c r="U299" s="5"/>
      <c r="V299" s="5"/>
      <c r="W299" s="5">
        <v>1002039.07</v>
      </c>
      <c r="X299" s="5">
        <v>1</v>
      </c>
      <c r="Y299" s="5">
        <v>1002039.07</v>
      </c>
      <c r="Z299" s="5">
        <v>15411306.1</v>
      </c>
      <c r="AA299" s="5">
        <v>1</v>
      </c>
      <c r="AB299" s="5">
        <v>15411306.1</v>
      </c>
    </row>
    <row r="300" spans="1:28">
      <c r="A300" s="5">
        <v>50</v>
      </c>
      <c r="B300" s="5">
        <v>0</v>
      </c>
      <c r="C300" s="5">
        <v>0</v>
      </c>
      <c r="D300" s="5">
        <v>1</v>
      </c>
      <c r="E300" s="5">
        <v>215</v>
      </c>
      <c r="F300" s="5">
        <f>ROUND(Source!AT282,O300)</f>
        <v>0</v>
      </c>
      <c r="G300" s="5" t="s">
        <v>98</v>
      </c>
      <c r="H300" s="5" t="s">
        <v>99</v>
      </c>
      <c r="I300" s="5"/>
      <c r="J300" s="5"/>
      <c r="K300" s="5">
        <v>215</v>
      </c>
      <c r="L300" s="5">
        <v>17</v>
      </c>
      <c r="M300" s="5">
        <v>3</v>
      </c>
      <c r="N300" s="5" t="s">
        <v>6</v>
      </c>
      <c r="O300" s="5">
        <v>2</v>
      </c>
      <c r="P300" s="5">
        <f>ROUND(Source!EL282,O300)</f>
        <v>0</v>
      </c>
      <c r="Q300" s="5"/>
      <c r="R300" s="5"/>
      <c r="S300" s="5"/>
      <c r="T300" s="5"/>
      <c r="U300" s="5"/>
      <c r="V300" s="5"/>
      <c r="W300" s="5">
        <v>0</v>
      </c>
      <c r="X300" s="5">
        <v>1</v>
      </c>
      <c r="Y300" s="5">
        <v>0</v>
      </c>
      <c r="Z300" s="5">
        <v>0</v>
      </c>
      <c r="AA300" s="5">
        <v>1</v>
      </c>
      <c r="AB300" s="5">
        <v>0</v>
      </c>
    </row>
    <row r="301" spans="1:28">
      <c r="A301" s="5">
        <v>50</v>
      </c>
      <c r="B301" s="5">
        <v>0</v>
      </c>
      <c r="C301" s="5">
        <v>0</v>
      </c>
      <c r="D301" s="5">
        <v>1</v>
      </c>
      <c r="E301" s="5">
        <v>217</v>
      </c>
      <c r="F301" s="5">
        <f>ROUND(Source!AU282,O301)</f>
        <v>0</v>
      </c>
      <c r="G301" s="5" t="s">
        <v>100</v>
      </c>
      <c r="H301" s="5" t="s">
        <v>101</v>
      </c>
      <c r="I301" s="5"/>
      <c r="J301" s="5"/>
      <c r="K301" s="5">
        <v>217</v>
      </c>
      <c r="L301" s="5">
        <v>18</v>
      </c>
      <c r="M301" s="5">
        <v>3</v>
      </c>
      <c r="N301" s="5" t="s">
        <v>6</v>
      </c>
      <c r="O301" s="5">
        <v>2</v>
      </c>
      <c r="P301" s="5">
        <f>ROUND(Source!EM282,O301)</f>
        <v>0</v>
      </c>
      <c r="Q301" s="5"/>
      <c r="R301" s="5"/>
      <c r="S301" s="5"/>
      <c r="T301" s="5"/>
      <c r="U301" s="5"/>
      <c r="V301" s="5"/>
      <c r="W301" s="5">
        <v>0</v>
      </c>
      <c r="X301" s="5">
        <v>1</v>
      </c>
      <c r="Y301" s="5">
        <v>0</v>
      </c>
      <c r="Z301" s="5">
        <v>0</v>
      </c>
      <c r="AA301" s="5">
        <v>1</v>
      </c>
      <c r="AB301" s="5">
        <v>0</v>
      </c>
    </row>
    <row r="302" spans="1:28">
      <c r="A302" s="5">
        <v>50</v>
      </c>
      <c r="B302" s="5">
        <v>0</v>
      </c>
      <c r="C302" s="5">
        <v>0</v>
      </c>
      <c r="D302" s="5">
        <v>1</v>
      </c>
      <c r="E302" s="5">
        <v>230</v>
      </c>
      <c r="F302" s="5">
        <f>ROUND(Source!BA282,O302)</f>
        <v>0</v>
      </c>
      <c r="G302" s="5" t="s">
        <v>102</v>
      </c>
      <c r="H302" s="5" t="s">
        <v>103</v>
      </c>
      <c r="I302" s="5"/>
      <c r="J302" s="5"/>
      <c r="K302" s="5">
        <v>230</v>
      </c>
      <c r="L302" s="5">
        <v>19</v>
      </c>
      <c r="M302" s="5">
        <v>3</v>
      </c>
      <c r="N302" s="5" t="s">
        <v>6</v>
      </c>
      <c r="O302" s="5">
        <v>2</v>
      </c>
      <c r="P302" s="5">
        <f>ROUND(Source!ES282,O302)</f>
        <v>0</v>
      </c>
      <c r="Q302" s="5"/>
      <c r="R302" s="5"/>
      <c r="S302" s="5"/>
      <c r="T302" s="5"/>
      <c r="U302" s="5"/>
      <c r="V302" s="5"/>
      <c r="W302" s="5">
        <v>0</v>
      </c>
      <c r="X302" s="5">
        <v>1</v>
      </c>
      <c r="Y302" s="5">
        <v>0</v>
      </c>
      <c r="Z302" s="5">
        <v>0</v>
      </c>
      <c r="AA302" s="5">
        <v>1</v>
      </c>
      <c r="AB302" s="5">
        <v>0</v>
      </c>
    </row>
    <row r="303" spans="1:28">
      <c r="A303" s="5">
        <v>50</v>
      </c>
      <c r="B303" s="5">
        <v>0</v>
      </c>
      <c r="C303" s="5">
        <v>0</v>
      </c>
      <c r="D303" s="5">
        <v>1</v>
      </c>
      <c r="E303" s="5">
        <v>206</v>
      </c>
      <c r="F303" s="5">
        <f>ROUND(Source!T282,O303)</f>
        <v>0</v>
      </c>
      <c r="G303" s="5" t="s">
        <v>104</v>
      </c>
      <c r="H303" s="5" t="s">
        <v>105</v>
      </c>
      <c r="I303" s="5"/>
      <c r="J303" s="5"/>
      <c r="K303" s="5">
        <v>206</v>
      </c>
      <c r="L303" s="5">
        <v>20</v>
      </c>
      <c r="M303" s="5">
        <v>3</v>
      </c>
      <c r="N303" s="5" t="s">
        <v>6</v>
      </c>
      <c r="O303" s="5">
        <v>2</v>
      </c>
      <c r="P303" s="5">
        <f>ROUND(Source!DL282,O303)</f>
        <v>0</v>
      </c>
      <c r="Q303" s="5"/>
      <c r="R303" s="5"/>
      <c r="S303" s="5"/>
      <c r="T303" s="5"/>
      <c r="U303" s="5"/>
      <c r="V303" s="5"/>
      <c r="W303" s="5">
        <v>0</v>
      </c>
      <c r="X303" s="5">
        <v>1</v>
      </c>
      <c r="Y303" s="5">
        <v>0</v>
      </c>
      <c r="Z303" s="5">
        <v>0</v>
      </c>
      <c r="AA303" s="5">
        <v>1</v>
      </c>
      <c r="AB303" s="5">
        <v>0</v>
      </c>
    </row>
    <row r="304" spans="1:28">
      <c r="A304" s="5">
        <v>50</v>
      </c>
      <c r="B304" s="5">
        <v>0</v>
      </c>
      <c r="C304" s="5">
        <v>0</v>
      </c>
      <c r="D304" s="5">
        <v>1</v>
      </c>
      <c r="E304" s="5">
        <v>207</v>
      </c>
      <c r="F304" s="5">
        <f>Source!U282</f>
        <v>2806.40689656</v>
      </c>
      <c r="G304" s="5" t="s">
        <v>106</v>
      </c>
      <c r="H304" s="5" t="s">
        <v>107</v>
      </c>
      <c r="I304" s="5"/>
      <c r="J304" s="5"/>
      <c r="K304" s="5">
        <v>207</v>
      </c>
      <c r="L304" s="5">
        <v>21</v>
      </c>
      <c r="M304" s="5">
        <v>3</v>
      </c>
      <c r="N304" s="5" t="s">
        <v>6</v>
      </c>
      <c r="O304" s="5">
        <v>-1</v>
      </c>
      <c r="P304" s="5">
        <f>Source!DM282</f>
        <v>2806.40689656</v>
      </c>
      <c r="Q304" s="5"/>
      <c r="R304" s="5"/>
      <c r="S304" s="5"/>
      <c r="T304" s="5"/>
      <c r="U304" s="5"/>
      <c r="V304" s="5"/>
      <c r="W304" s="5">
        <v>2806.4068965599995</v>
      </c>
      <c r="X304" s="5">
        <v>1</v>
      </c>
      <c r="Y304" s="5">
        <v>2806.4068965599995</v>
      </c>
      <c r="Z304" s="5">
        <v>2806.4068965599995</v>
      </c>
      <c r="AA304" s="5">
        <v>1</v>
      </c>
      <c r="AB304" s="5">
        <v>2806.4068965599995</v>
      </c>
    </row>
    <row r="305" spans="1:206">
      <c r="A305" s="5">
        <v>50</v>
      </c>
      <c r="B305" s="5">
        <v>0</v>
      </c>
      <c r="C305" s="5">
        <v>0</v>
      </c>
      <c r="D305" s="5">
        <v>1</v>
      </c>
      <c r="E305" s="5">
        <v>208</v>
      </c>
      <c r="F305" s="5">
        <f>Source!V282</f>
        <v>0</v>
      </c>
      <c r="G305" s="5" t="s">
        <v>108</v>
      </c>
      <c r="H305" s="5" t="s">
        <v>109</v>
      </c>
      <c r="I305" s="5"/>
      <c r="J305" s="5"/>
      <c r="K305" s="5">
        <v>208</v>
      </c>
      <c r="L305" s="5">
        <v>22</v>
      </c>
      <c r="M305" s="5">
        <v>3</v>
      </c>
      <c r="N305" s="5" t="s">
        <v>6</v>
      </c>
      <c r="O305" s="5">
        <v>-1</v>
      </c>
      <c r="P305" s="5">
        <f>Source!DN282</f>
        <v>0</v>
      </c>
      <c r="Q305" s="5"/>
      <c r="R305" s="5"/>
      <c r="S305" s="5"/>
      <c r="T305" s="5"/>
      <c r="U305" s="5"/>
      <c r="V305" s="5"/>
      <c r="W305" s="5">
        <v>0</v>
      </c>
      <c r="X305" s="5">
        <v>1</v>
      </c>
      <c r="Y305" s="5">
        <v>0</v>
      </c>
      <c r="Z305" s="5">
        <v>0</v>
      </c>
      <c r="AA305" s="5">
        <v>1</v>
      </c>
      <c r="AB305" s="5">
        <v>0</v>
      </c>
    </row>
    <row r="306" spans="1:206">
      <c r="A306" s="5">
        <v>50</v>
      </c>
      <c r="B306" s="5">
        <v>0</v>
      </c>
      <c r="C306" s="5">
        <v>0</v>
      </c>
      <c r="D306" s="5">
        <v>1</v>
      </c>
      <c r="E306" s="5">
        <v>209</v>
      </c>
      <c r="F306" s="5">
        <f>ROUND(Source!W282,O306)</f>
        <v>0</v>
      </c>
      <c r="G306" s="5" t="s">
        <v>110</v>
      </c>
      <c r="H306" s="5" t="s">
        <v>111</v>
      </c>
      <c r="I306" s="5"/>
      <c r="J306" s="5"/>
      <c r="K306" s="5">
        <v>209</v>
      </c>
      <c r="L306" s="5">
        <v>23</v>
      </c>
      <c r="M306" s="5">
        <v>3</v>
      </c>
      <c r="N306" s="5" t="s">
        <v>6</v>
      </c>
      <c r="O306" s="5">
        <v>2</v>
      </c>
      <c r="P306" s="5">
        <f>ROUND(Source!DO282,O306)</f>
        <v>0</v>
      </c>
      <c r="Q306" s="5"/>
      <c r="R306" s="5"/>
      <c r="S306" s="5"/>
      <c r="T306" s="5"/>
      <c r="U306" s="5"/>
      <c r="V306" s="5"/>
      <c r="W306" s="5">
        <v>0</v>
      </c>
      <c r="X306" s="5">
        <v>1</v>
      </c>
      <c r="Y306" s="5">
        <v>0</v>
      </c>
      <c r="Z306" s="5">
        <v>0</v>
      </c>
      <c r="AA306" s="5">
        <v>1</v>
      </c>
      <c r="AB306" s="5">
        <v>0</v>
      </c>
    </row>
    <row r="307" spans="1:206">
      <c r="A307" s="5">
        <v>50</v>
      </c>
      <c r="B307" s="5">
        <v>0</v>
      </c>
      <c r="C307" s="5">
        <v>0</v>
      </c>
      <c r="D307" s="5">
        <v>1</v>
      </c>
      <c r="E307" s="5">
        <v>233</v>
      </c>
      <c r="F307" s="5">
        <f>ROUND(Source!BD282,O307)</f>
        <v>0</v>
      </c>
      <c r="G307" s="5" t="s">
        <v>112</v>
      </c>
      <c r="H307" s="5" t="s">
        <v>113</v>
      </c>
      <c r="I307" s="5"/>
      <c r="J307" s="5"/>
      <c r="K307" s="5">
        <v>233</v>
      </c>
      <c r="L307" s="5">
        <v>24</v>
      </c>
      <c r="M307" s="5">
        <v>3</v>
      </c>
      <c r="N307" s="5" t="s">
        <v>6</v>
      </c>
      <c r="O307" s="5">
        <v>2</v>
      </c>
      <c r="P307" s="5">
        <f>ROUND(Source!EV282,O307)</f>
        <v>0</v>
      </c>
      <c r="Q307" s="5"/>
      <c r="R307" s="5"/>
      <c r="S307" s="5"/>
      <c r="T307" s="5"/>
      <c r="U307" s="5"/>
      <c r="V307" s="5"/>
      <c r="W307" s="5">
        <v>0</v>
      </c>
      <c r="X307" s="5">
        <v>1</v>
      </c>
      <c r="Y307" s="5">
        <v>0</v>
      </c>
      <c r="Z307" s="5">
        <v>0</v>
      </c>
      <c r="AA307" s="5">
        <v>1</v>
      </c>
      <c r="AB307" s="5">
        <v>0</v>
      </c>
    </row>
    <row r="308" spans="1:206">
      <c r="A308" s="5">
        <v>50</v>
      </c>
      <c r="B308" s="5">
        <v>0</v>
      </c>
      <c r="C308" s="5">
        <v>0</v>
      </c>
      <c r="D308" s="5">
        <v>1</v>
      </c>
      <c r="E308" s="5">
        <v>210</v>
      </c>
      <c r="F308" s="5">
        <f>ROUND(Source!X282,O308)</f>
        <v>49345.01</v>
      </c>
      <c r="G308" s="5" t="s">
        <v>114</v>
      </c>
      <c r="H308" s="5" t="s">
        <v>115</v>
      </c>
      <c r="I308" s="5"/>
      <c r="J308" s="5"/>
      <c r="K308" s="5">
        <v>210</v>
      </c>
      <c r="L308" s="5">
        <v>25</v>
      </c>
      <c r="M308" s="5">
        <v>3</v>
      </c>
      <c r="N308" s="5" t="s">
        <v>6</v>
      </c>
      <c r="O308" s="5">
        <v>2</v>
      </c>
      <c r="P308" s="5">
        <f>ROUND(Source!DP282,O308)</f>
        <v>1631315.29</v>
      </c>
      <c r="Q308" s="5"/>
      <c r="R308" s="5"/>
      <c r="S308" s="5"/>
      <c r="T308" s="5"/>
      <c r="U308" s="5"/>
      <c r="V308" s="5"/>
      <c r="W308" s="5">
        <v>49345.01</v>
      </c>
      <c r="X308" s="5">
        <v>1</v>
      </c>
      <c r="Y308" s="5">
        <v>49345.01</v>
      </c>
      <c r="Z308" s="5">
        <v>1631315.29</v>
      </c>
      <c r="AA308" s="5">
        <v>1</v>
      </c>
      <c r="AB308" s="5">
        <v>1631315.29</v>
      </c>
    </row>
    <row r="309" spans="1:206">
      <c r="A309" s="5">
        <v>50</v>
      </c>
      <c r="B309" s="5">
        <v>0</v>
      </c>
      <c r="C309" s="5">
        <v>0</v>
      </c>
      <c r="D309" s="5">
        <v>1</v>
      </c>
      <c r="E309" s="5">
        <v>211</v>
      </c>
      <c r="F309" s="5">
        <f>ROUND(Source!Y282,O309)</f>
        <v>29929.119999999999</v>
      </c>
      <c r="G309" s="5" t="s">
        <v>116</v>
      </c>
      <c r="H309" s="5" t="s">
        <v>117</v>
      </c>
      <c r="I309" s="5"/>
      <c r="J309" s="5"/>
      <c r="K309" s="5">
        <v>211</v>
      </c>
      <c r="L309" s="5">
        <v>26</v>
      </c>
      <c r="M309" s="5">
        <v>3</v>
      </c>
      <c r="N309" s="5" t="s">
        <v>6</v>
      </c>
      <c r="O309" s="5">
        <v>2</v>
      </c>
      <c r="P309" s="5">
        <f>ROUND(Source!DQ282,O309)</f>
        <v>723897.35</v>
      </c>
      <c r="Q309" s="5"/>
      <c r="R309" s="5"/>
      <c r="S309" s="5"/>
      <c r="T309" s="5"/>
      <c r="U309" s="5"/>
      <c r="V309" s="5"/>
      <c r="W309" s="5">
        <v>29929.119999999999</v>
      </c>
      <c r="X309" s="5">
        <v>1</v>
      </c>
      <c r="Y309" s="5">
        <v>29929.119999999999</v>
      </c>
      <c r="Z309" s="5">
        <v>723897.35</v>
      </c>
      <c r="AA309" s="5">
        <v>1</v>
      </c>
      <c r="AB309" s="5">
        <v>723897.35</v>
      </c>
    </row>
    <row r="310" spans="1:206">
      <c r="A310" s="5">
        <v>50</v>
      </c>
      <c r="B310" s="5">
        <v>0</v>
      </c>
      <c r="C310" s="5">
        <v>0</v>
      </c>
      <c r="D310" s="5">
        <v>1</v>
      </c>
      <c r="E310" s="5">
        <v>224</v>
      </c>
      <c r="F310" s="5">
        <f>ROUND(Source!AR282,O310)</f>
        <v>1002039.07</v>
      </c>
      <c r="G310" s="5" t="s">
        <v>118</v>
      </c>
      <c r="H310" s="5" t="s">
        <v>119</v>
      </c>
      <c r="I310" s="5"/>
      <c r="J310" s="5"/>
      <c r="K310" s="5">
        <v>224</v>
      </c>
      <c r="L310" s="5">
        <v>27</v>
      </c>
      <c r="M310" s="5">
        <v>3</v>
      </c>
      <c r="N310" s="5" t="s">
        <v>6</v>
      </c>
      <c r="O310" s="5">
        <v>2</v>
      </c>
      <c r="P310" s="5">
        <f>ROUND(Source!EJ282,O310)</f>
        <v>15411306.1</v>
      </c>
      <c r="Q310" s="5"/>
      <c r="R310" s="5"/>
      <c r="S310" s="5"/>
      <c r="T310" s="5"/>
      <c r="U310" s="5"/>
      <c r="V310" s="5"/>
      <c r="W310" s="5">
        <v>1002039.07</v>
      </c>
      <c r="X310" s="5">
        <v>1</v>
      </c>
      <c r="Y310" s="5">
        <v>1002039.07</v>
      </c>
      <c r="Z310" s="5">
        <v>15411306.1</v>
      </c>
      <c r="AA310" s="5">
        <v>1</v>
      </c>
      <c r="AB310" s="5">
        <v>15411306.1</v>
      </c>
    </row>
    <row r="312" spans="1:206">
      <c r="A312" s="3">
        <v>51</v>
      </c>
      <c r="B312" s="3">
        <f>B12</f>
        <v>351</v>
      </c>
      <c r="C312" s="3">
        <f>A12</f>
        <v>1</v>
      </c>
      <c r="D312" s="3">
        <f>ROW(A12)</f>
        <v>12</v>
      </c>
      <c r="E312" s="3"/>
      <c r="F312" s="3" t="str">
        <f>IF(F12&lt;&gt;"",F12,"")</f>
        <v>(ТСН-2001 (Мосгосэкспертиза))</v>
      </c>
      <c r="G312" s="3" t="str">
        <f>IF(G12&lt;&gt;"",G12,"")</f>
        <v>02-01-04. Благоустройство _24.05.25.</v>
      </c>
      <c r="H312" s="3">
        <v>0</v>
      </c>
      <c r="I312" s="3"/>
      <c r="J312" s="3"/>
      <c r="K312" s="3"/>
      <c r="L312" s="3"/>
      <c r="M312" s="3"/>
      <c r="N312" s="3"/>
      <c r="O312" s="3">
        <f t="shared" ref="O312:T312" si="336">ROUND(O282,2)</f>
        <v>903071.15</v>
      </c>
      <c r="P312" s="3">
        <f t="shared" si="336"/>
        <v>748219.78</v>
      </c>
      <c r="Q312" s="3">
        <f t="shared" si="336"/>
        <v>123726.71</v>
      </c>
      <c r="R312" s="3">
        <f t="shared" si="336"/>
        <v>11253.57</v>
      </c>
      <c r="S312" s="3">
        <f t="shared" si="336"/>
        <v>31124.66</v>
      </c>
      <c r="T312" s="3">
        <f t="shared" si="336"/>
        <v>0</v>
      </c>
      <c r="U312" s="3">
        <f>U282</f>
        <v>2806.40689656</v>
      </c>
      <c r="V312" s="3">
        <f>V282</f>
        <v>0</v>
      </c>
      <c r="W312" s="3">
        <f>ROUND(W282,2)</f>
        <v>0</v>
      </c>
      <c r="X312" s="3">
        <f>ROUND(X282,2)</f>
        <v>49345.01</v>
      </c>
      <c r="Y312" s="3">
        <f>ROUND(Y282,2)</f>
        <v>29929.119999999999</v>
      </c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>
        <f t="shared" ref="AO312:BD312" si="337">ROUND(AO282,2)</f>
        <v>0</v>
      </c>
      <c r="AP312" s="3">
        <f t="shared" si="337"/>
        <v>0</v>
      </c>
      <c r="AQ312" s="3">
        <f t="shared" si="337"/>
        <v>0</v>
      </c>
      <c r="AR312" s="3">
        <f t="shared" si="337"/>
        <v>1002039.07</v>
      </c>
      <c r="AS312" s="3">
        <f t="shared" si="337"/>
        <v>1002039.07</v>
      </c>
      <c r="AT312" s="3">
        <f t="shared" si="337"/>
        <v>0</v>
      </c>
      <c r="AU312" s="3">
        <f t="shared" si="337"/>
        <v>0</v>
      </c>
      <c r="AV312" s="3">
        <f t="shared" si="337"/>
        <v>748219.78</v>
      </c>
      <c r="AW312" s="3">
        <f t="shared" si="337"/>
        <v>748219.78</v>
      </c>
      <c r="AX312" s="3">
        <f t="shared" si="337"/>
        <v>0</v>
      </c>
      <c r="AY312" s="3">
        <f t="shared" si="337"/>
        <v>748219.78</v>
      </c>
      <c r="AZ312" s="3">
        <f t="shared" si="337"/>
        <v>0</v>
      </c>
      <c r="BA312" s="3">
        <f t="shared" si="337"/>
        <v>0</v>
      </c>
      <c r="BB312" s="3">
        <f t="shared" si="337"/>
        <v>0</v>
      </c>
      <c r="BC312" s="3">
        <f t="shared" si="337"/>
        <v>0</v>
      </c>
      <c r="BD312" s="3">
        <f t="shared" si="337"/>
        <v>0</v>
      </c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  <c r="BY312" s="3"/>
      <c r="BZ312" s="3"/>
      <c r="CA312" s="3"/>
      <c r="CB312" s="3"/>
      <c r="CC312" s="3"/>
      <c r="CD312" s="3"/>
      <c r="CE312" s="3"/>
      <c r="CF312" s="3"/>
      <c r="CG312" s="3"/>
      <c r="CH312" s="3"/>
      <c r="CI312" s="3"/>
      <c r="CJ312" s="3"/>
      <c r="CK312" s="3"/>
      <c r="CL312" s="3"/>
      <c r="CM312" s="3"/>
      <c r="CN312" s="3"/>
      <c r="CO312" s="3"/>
      <c r="CP312" s="3"/>
      <c r="CQ312" s="3"/>
      <c r="CR312" s="3"/>
      <c r="CS312" s="3"/>
      <c r="CT312" s="3"/>
      <c r="CU312" s="3"/>
      <c r="CV312" s="3"/>
      <c r="CW312" s="3"/>
      <c r="CX312" s="3"/>
      <c r="CY312" s="3"/>
      <c r="CZ312" s="3"/>
      <c r="DA312" s="3"/>
      <c r="DB312" s="3"/>
      <c r="DC312" s="3"/>
      <c r="DD312" s="3"/>
      <c r="DE312" s="3"/>
      <c r="DF312" s="3"/>
      <c r="DG312" s="4">
        <f t="shared" ref="DG312:DL312" si="338">ROUND(DG282,2)</f>
        <v>12215766.84</v>
      </c>
      <c r="DH312" s="4">
        <f t="shared" si="338"/>
        <v>9088956.0800000001</v>
      </c>
      <c r="DI312" s="4">
        <f t="shared" si="338"/>
        <v>1674222.9</v>
      </c>
      <c r="DJ312" s="4">
        <f t="shared" si="338"/>
        <v>525204.13</v>
      </c>
      <c r="DK312" s="4">
        <f t="shared" si="338"/>
        <v>1452587.86</v>
      </c>
      <c r="DL312" s="4">
        <f t="shared" si="338"/>
        <v>0</v>
      </c>
      <c r="DM312" s="4">
        <f>DM282</f>
        <v>2806.40689656</v>
      </c>
      <c r="DN312" s="4">
        <f>DN282</f>
        <v>0</v>
      </c>
      <c r="DO312" s="4">
        <f>ROUND(DO282,2)</f>
        <v>0</v>
      </c>
      <c r="DP312" s="4">
        <f>ROUND(DP282,2)</f>
        <v>1631315.29</v>
      </c>
      <c r="DQ312" s="4">
        <f>ROUND(DQ282,2)</f>
        <v>723897.35</v>
      </c>
      <c r="DR312" s="4"/>
      <c r="DS312" s="4"/>
      <c r="DT312" s="4"/>
      <c r="DU312" s="4"/>
      <c r="DV312" s="4"/>
      <c r="DW312" s="4"/>
      <c r="DX312" s="4"/>
      <c r="DY312" s="4"/>
      <c r="DZ312" s="4"/>
      <c r="EA312" s="4"/>
      <c r="EB312" s="4"/>
      <c r="EC312" s="4"/>
      <c r="ED312" s="4"/>
      <c r="EE312" s="4"/>
      <c r="EF312" s="4"/>
      <c r="EG312" s="4">
        <f t="shared" ref="EG312:EV312" si="339">ROUND(EG282,2)</f>
        <v>0</v>
      </c>
      <c r="EH312" s="4">
        <f t="shared" si="339"/>
        <v>0</v>
      </c>
      <c r="EI312" s="4">
        <f t="shared" si="339"/>
        <v>0</v>
      </c>
      <c r="EJ312" s="4">
        <f t="shared" si="339"/>
        <v>15411306.1</v>
      </c>
      <c r="EK312" s="4">
        <f t="shared" si="339"/>
        <v>15411306.1</v>
      </c>
      <c r="EL312" s="4">
        <f t="shared" si="339"/>
        <v>0</v>
      </c>
      <c r="EM312" s="4">
        <f t="shared" si="339"/>
        <v>0</v>
      </c>
      <c r="EN312" s="4">
        <f t="shared" si="339"/>
        <v>9088956.0800000001</v>
      </c>
      <c r="EO312" s="4">
        <f t="shared" si="339"/>
        <v>9088956.0800000001</v>
      </c>
      <c r="EP312" s="4">
        <f t="shared" si="339"/>
        <v>0</v>
      </c>
      <c r="EQ312" s="4">
        <f t="shared" si="339"/>
        <v>9088956.0800000001</v>
      </c>
      <c r="ER312" s="4">
        <f t="shared" si="339"/>
        <v>0</v>
      </c>
      <c r="ES312" s="4">
        <f t="shared" si="339"/>
        <v>0</v>
      </c>
      <c r="ET312" s="4">
        <f t="shared" si="339"/>
        <v>0</v>
      </c>
      <c r="EU312" s="4">
        <f t="shared" si="339"/>
        <v>0</v>
      </c>
      <c r="EV312" s="4">
        <f t="shared" si="339"/>
        <v>0</v>
      </c>
      <c r="EW312" s="4"/>
      <c r="EX312" s="4"/>
      <c r="EY312" s="4"/>
      <c r="EZ312" s="4"/>
      <c r="FA312" s="4"/>
      <c r="FB312" s="4"/>
      <c r="FC312" s="4"/>
      <c r="FD312" s="4"/>
      <c r="FE312" s="4"/>
      <c r="FF312" s="4"/>
      <c r="FG312" s="4"/>
      <c r="FH312" s="4"/>
      <c r="FI312" s="4"/>
      <c r="FJ312" s="4"/>
      <c r="FK312" s="4"/>
      <c r="FL312" s="4"/>
      <c r="FM312" s="4"/>
      <c r="FN312" s="4"/>
      <c r="FO312" s="4"/>
      <c r="FP312" s="4"/>
      <c r="FQ312" s="4"/>
      <c r="FR312" s="4"/>
      <c r="FS312" s="4"/>
      <c r="FT312" s="4"/>
      <c r="FU312" s="4"/>
      <c r="FV312" s="4"/>
      <c r="FW312" s="4"/>
      <c r="FX312" s="4"/>
      <c r="FY312" s="4"/>
      <c r="FZ312" s="4"/>
      <c r="GA312" s="4"/>
      <c r="GB312" s="4"/>
      <c r="GC312" s="4"/>
      <c r="GD312" s="4"/>
      <c r="GE312" s="4"/>
      <c r="GF312" s="4"/>
      <c r="GG312" s="4"/>
      <c r="GH312" s="4"/>
      <c r="GI312" s="4"/>
      <c r="GJ312" s="4"/>
      <c r="GK312" s="4"/>
      <c r="GL312" s="4"/>
      <c r="GM312" s="4"/>
      <c r="GN312" s="4"/>
      <c r="GO312" s="4"/>
      <c r="GP312" s="4"/>
      <c r="GQ312" s="4"/>
      <c r="GR312" s="4"/>
      <c r="GS312" s="4"/>
      <c r="GT312" s="4"/>
      <c r="GU312" s="4"/>
      <c r="GV312" s="4"/>
      <c r="GW312" s="4"/>
      <c r="GX312" s="4">
        <v>0</v>
      </c>
    </row>
    <row r="314" spans="1:206">
      <c r="A314" s="5">
        <v>50</v>
      </c>
      <c r="B314" s="5">
        <v>0</v>
      </c>
      <c r="C314" s="5">
        <v>0</v>
      </c>
      <c r="D314" s="5">
        <v>1</v>
      </c>
      <c r="E314" s="5">
        <v>201</v>
      </c>
      <c r="F314" s="5">
        <f>ROUND(Source!O312,O314)</f>
        <v>903071.15</v>
      </c>
      <c r="G314" s="5" t="s">
        <v>66</v>
      </c>
      <c r="H314" s="5" t="s">
        <v>67</v>
      </c>
      <c r="I314" s="5"/>
      <c r="J314" s="5"/>
      <c r="K314" s="5">
        <v>201</v>
      </c>
      <c r="L314" s="5">
        <v>1</v>
      </c>
      <c r="M314" s="5">
        <v>3</v>
      </c>
      <c r="N314" s="5" t="s">
        <v>6</v>
      </c>
      <c r="O314" s="5">
        <v>2</v>
      </c>
      <c r="P314" s="5">
        <f>ROUND(Source!DG312,O314)</f>
        <v>12215766.84</v>
      </c>
      <c r="Q314" s="5"/>
      <c r="R314" s="5"/>
      <c r="S314" s="5"/>
      <c r="T314" s="5"/>
      <c r="U314" s="5"/>
      <c r="V314" s="5"/>
      <c r="W314" s="5">
        <v>903071.15</v>
      </c>
      <c r="X314" s="5">
        <v>1</v>
      </c>
      <c r="Y314" s="5">
        <v>903071.15</v>
      </c>
      <c r="Z314" s="5">
        <v>12215766.84</v>
      </c>
      <c r="AA314" s="5">
        <v>1</v>
      </c>
      <c r="AB314" s="5">
        <v>12215766.84</v>
      </c>
    </row>
    <row r="315" spans="1:206">
      <c r="A315" s="5">
        <v>50</v>
      </c>
      <c r="B315" s="5">
        <v>0</v>
      </c>
      <c r="C315" s="5">
        <v>0</v>
      </c>
      <c r="D315" s="5">
        <v>1</v>
      </c>
      <c r="E315" s="5">
        <v>202</v>
      </c>
      <c r="F315" s="5">
        <f>ROUND(Source!P312,O315)</f>
        <v>748219.78</v>
      </c>
      <c r="G315" s="5" t="s">
        <v>68</v>
      </c>
      <c r="H315" s="5" t="s">
        <v>69</v>
      </c>
      <c r="I315" s="5"/>
      <c r="J315" s="5"/>
      <c r="K315" s="5">
        <v>202</v>
      </c>
      <c r="L315" s="5">
        <v>2</v>
      </c>
      <c r="M315" s="5">
        <v>3</v>
      </c>
      <c r="N315" s="5" t="s">
        <v>6</v>
      </c>
      <c r="O315" s="5">
        <v>2</v>
      </c>
      <c r="P315" s="5">
        <f>ROUND(Source!DH312,O315)</f>
        <v>9088956.0800000001</v>
      </c>
      <c r="Q315" s="5"/>
      <c r="R315" s="5"/>
      <c r="S315" s="5"/>
      <c r="T315" s="5"/>
      <c r="U315" s="5"/>
      <c r="V315" s="5"/>
      <c r="W315" s="5">
        <v>748219.78</v>
      </c>
      <c r="X315" s="5">
        <v>1</v>
      </c>
      <c r="Y315" s="5">
        <v>748219.78</v>
      </c>
      <c r="Z315" s="5">
        <v>9088956.0800000001</v>
      </c>
      <c r="AA315" s="5">
        <v>1</v>
      </c>
      <c r="AB315" s="5">
        <v>9088956.0800000001</v>
      </c>
    </row>
    <row r="316" spans="1:206">
      <c r="A316" s="5">
        <v>50</v>
      </c>
      <c r="B316" s="5">
        <v>0</v>
      </c>
      <c r="C316" s="5">
        <v>0</v>
      </c>
      <c r="D316" s="5">
        <v>1</v>
      </c>
      <c r="E316" s="5">
        <v>222</v>
      </c>
      <c r="F316" s="5">
        <f>ROUND(Source!AO312,O316)</f>
        <v>0</v>
      </c>
      <c r="G316" s="5" t="s">
        <v>70</v>
      </c>
      <c r="H316" s="5" t="s">
        <v>71</v>
      </c>
      <c r="I316" s="5"/>
      <c r="J316" s="5"/>
      <c r="K316" s="5">
        <v>222</v>
      </c>
      <c r="L316" s="5">
        <v>3</v>
      </c>
      <c r="M316" s="5">
        <v>3</v>
      </c>
      <c r="N316" s="5" t="s">
        <v>6</v>
      </c>
      <c r="O316" s="5">
        <v>2</v>
      </c>
      <c r="P316" s="5">
        <f>ROUND(Source!EG312,O316)</f>
        <v>0</v>
      </c>
      <c r="Q316" s="5"/>
      <c r="R316" s="5"/>
      <c r="S316" s="5"/>
      <c r="T316" s="5"/>
      <c r="U316" s="5"/>
      <c r="V316" s="5"/>
      <c r="W316" s="5">
        <v>0</v>
      </c>
      <c r="X316" s="5">
        <v>1</v>
      </c>
      <c r="Y316" s="5">
        <v>0</v>
      </c>
      <c r="Z316" s="5">
        <v>0</v>
      </c>
      <c r="AA316" s="5">
        <v>1</v>
      </c>
      <c r="AB316" s="5">
        <v>0</v>
      </c>
    </row>
    <row r="317" spans="1:206">
      <c r="A317" s="5">
        <v>50</v>
      </c>
      <c r="B317" s="5">
        <v>0</v>
      </c>
      <c r="C317" s="5">
        <v>0</v>
      </c>
      <c r="D317" s="5">
        <v>1</v>
      </c>
      <c r="E317" s="5">
        <v>225</v>
      </c>
      <c r="F317" s="5">
        <f>ROUND(Source!AV312,O317)</f>
        <v>748219.78</v>
      </c>
      <c r="G317" s="5" t="s">
        <v>72</v>
      </c>
      <c r="H317" s="5" t="s">
        <v>73</v>
      </c>
      <c r="I317" s="5"/>
      <c r="J317" s="5"/>
      <c r="K317" s="5">
        <v>225</v>
      </c>
      <c r="L317" s="5">
        <v>4</v>
      </c>
      <c r="M317" s="5">
        <v>3</v>
      </c>
      <c r="N317" s="5" t="s">
        <v>6</v>
      </c>
      <c r="O317" s="5">
        <v>2</v>
      </c>
      <c r="P317" s="5">
        <f>ROUND(Source!EN312,O317)</f>
        <v>9088956.0800000001</v>
      </c>
      <c r="Q317" s="5"/>
      <c r="R317" s="5"/>
      <c r="S317" s="5"/>
      <c r="T317" s="5"/>
      <c r="U317" s="5"/>
      <c r="V317" s="5"/>
      <c r="W317" s="5">
        <v>748219.78</v>
      </c>
      <c r="X317" s="5">
        <v>1</v>
      </c>
      <c r="Y317" s="5">
        <v>748219.78</v>
      </c>
      <c r="Z317" s="5">
        <v>9088956.0800000001</v>
      </c>
      <c r="AA317" s="5">
        <v>1</v>
      </c>
      <c r="AB317" s="5">
        <v>9088956.0800000001</v>
      </c>
    </row>
    <row r="318" spans="1:206">
      <c r="A318" s="5">
        <v>50</v>
      </c>
      <c r="B318" s="5">
        <v>0</v>
      </c>
      <c r="C318" s="5">
        <v>0</v>
      </c>
      <c r="D318" s="5">
        <v>1</v>
      </c>
      <c r="E318" s="5">
        <v>226</v>
      </c>
      <c r="F318" s="5">
        <f>ROUND(Source!AW312,O318)</f>
        <v>748219.78</v>
      </c>
      <c r="G318" s="5" t="s">
        <v>74</v>
      </c>
      <c r="H318" s="5" t="s">
        <v>75</v>
      </c>
      <c r="I318" s="5"/>
      <c r="J318" s="5"/>
      <c r="K318" s="5">
        <v>226</v>
      </c>
      <c r="L318" s="5">
        <v>5</v>
      </c>
      <c r="M318" s="5">
        <v>3</v>
      </c>
      <c r="N318" s="5" t="s">
        <v>6</v>
      </c>
      <c r="O318" s="5">
        <v>2</v>
      </c>
      <c r="P318" s="5">
        <f>ROUND(Source!EO312,O318)</f>
        <v>9088956.0800000001</v>
      </c>
      <c r="Q318" s="5"/>
      <c r="R318" s="5"/>
      <c r="S318" s="5"/>
      <c r="T318" s="5"/>
      <c r="U318" s="5"/>
      <c r="V318" s="5"/>
      <c r="W318" s="5">
        <v>748219.78</v>
      </c>
      <c r="X318" s="5">
        <v>1</v>
      </c>
      <c r="Y318" s="5">
        <v>748219.78</v>
      </c>
      <c r="Z318" s="5">
        <v>9088956.0800000001</v>
      </c>
      <c r="AA318" s="5">
        <v>1</v>
      </c>
      <c r="AB318" s="5">
        <v>9088956.0800000001</v>
      </c>
    </row>
    <row r="319" spans="1:206">
      <c r="A319" s="5">
        <v>50</v>
      </c>
      <c r="B319" s="5">
        <v>0</v>
      </c>
      <c r="C319" s="5">
        <v>0</v>
      </c>
      <c r="D319" s="5">
        <v>1</v>
      </c>
      <c r="E319" s="5">
        <v>227</v>
      </c>
      <c r="F319" s="5">
        <f>ROUND(Source!AX312,O319)</f>
        <v>0</v>
      </c>
      <c r="G319" s="5" t="s">
        <v>76</v>
      </c>
      <c r="H319" s="5" t="s">
        <v>77</v>
      </c>
      <c r="I319" s="5"/>
      <c r="J319" s="5"/>
      <c r="K319" s="5">
        <v>227</v>
      </c>
      <c r="L319" s="5">
        <v>6</v>
      </c>
      <c r="M319" s="5">
        <v>3</v>
      </c>
      <c r="N319" s="5" t="s">
        <v>6</v>
      </c>
      <c r="O319" s="5">
        <v>2</v>
      </c>
      <c r="P319" s="5">
        <f>ROUND(Source!EP312,O319)</f>
        <v>0</v>
      </c>
      <c r="Q319" s="5"/>
      <c r="R319" s="5"/>
      <c r="S319" s="5"/>
      <c r="T319" s="5"/>
      <c r="U319" s="5"/>
      <c r="V319" s="5"/>
      <c r="W319" s="5">
        <v>0</v>
      </c>
      <c r="X319" s="5">
        <v>1</v>
      </c>
      <c r="Y319" s="5">
        <v>0</v>
      </c>
      <c r="Z319" s="5">
        <v>0</v>
      </c>
      <c r="AA319" s="5">
        <v>1</v>
      </c>
      <c r="AB319" s="5">
        <v>0</v>
      </c>
    </row>
    <row r="320" spans="1:206">
      <c r="A320" s="5">
        <v>50</v>
      </c>
      <c r="B320" s="5">
        <v>0</v>
      </c>
      <c r="C320" s="5">
        <v>0</v>
      </c>
      <c r="D320" s="5">
        <v>1</v>
      </c>
      <c r="E320" s="5">
        <v>228</v>
      </c>
      <c r="F320" s="5">
        <f>ROUND(Source!AY312,O320)</f>
        <v>748219.78</v>
      </c>
      <c r="G320" s="5" t="s">
        <v>78</v>
      </c>
      <c r="H320" s="5" t="s">
        <v>79</v>
      </c>
      <c r="I320" s="5"/>
      <c r="J320" s="5"/>
      <c r="K320" s="5">
        <v>228</v>
      </c>
      <c r="L320" s="5">
        <v>7</v>
      </c>
      <c r="M320" s="5">
        <v>3</v>
      </c>
      <c r="N320" s="5" t="s">
        <v>6</v>
      </c>
      <c r="O320" s="5">
        <v>2</v>
      </c>
      <c r="P320" s="5">
        <f>ROUND(Source!EQ312,O320)</f>
        <v>9088956.0800000001</v>
      </c>
      <c r="Q320" s="5"/>
      <c r="R320" s="5"/>
      <c r="S320" s="5"/>
      <c r="T320" s="5"/>
      <c r="U320" s="5"/>
      <c r="V320" s="5"/>
      <c r="W320" s="5">
        <v>748219.78</v>
      </c>
      <c r="X320" s="5">
        <v>1</v>
      </c>
      <c r="Y320" s="5">
        <v>748219.78</v>
      </c>
      <c r="Z320" s="5">
        <v>9088956.0800000001</v>
      </c>
      <c r="AA320" s="5">
        <v>1</v>
      </c>
      <c r="AB320" s="5">
        <v>9088956.0800000001</v>
      </c>
    </row>
    <row r="321" spans="1:28">
      <c r="A321" s="5">
        <v>50</v>
      </c>
      <c r="B321" s="5">
        <v>0</v>
      </c>
      <c r="C321" s="5">
        <v>0</v>
      </c>
      <c r="D321" s="5">
        <v>1</v>
      </c>
      <c r="E321" s="5">
        <v>216</v>
      </c>
      <c r="F321" s="5">
        <f>ROUND(Source!AP312,O321)</f>
        <v>0</v>
      </c>
      <c r="G321" s="5" t="s">
        <v>80</v>
      </c>
      <c r="H321" s="5" t="s">
        <v>81</v>
      </c>
      <c r="I321" s="5"/>
      <c r="J321" s="5"/>
      <c r="K321" s="5">
        <v>216</v>
      </c>
      <c r="L321" s="5">
        <v>8</v>
      </c>
      <c r="M321" s="5">
        <v>3</v>
      </c>
      <c r="N321" s="5" t="s">
        <v>6</v>
      </c>
      <c r="O321" s="5">
        <v>2</v>
      </c>
      <c r="P321" s="5">
        <f>ROUND(Source!EH312,O321)</f>
        <v>0</v>
      </c>
      <c r="Q321" s="5"/>
      <c r="R321" s="5"/>
      <c r="S321" s="5"/>
      <c r="T321" s="5"/>
      <c r="U321" s="5"/>
      <c r="V321" s="5"/>
      <c r="W321" s="5">
        <v>0</v>
      </c>
      <c r="X321" s="5">
        <v>1</v>
      </c>
      <c r="Y321" s="5">
        <v>0</v>
      </c>
      <c r="Z321" s="5">
        <v>0</v>
      </c>
      <c r="AA321" s="5">
        <v>1</v>
      </c>
      <c r="AB321" s="5">
        <v>0</v>
      </c>
    </row>
    <row r="322" spans="1:28">
      <c r="A322" s="5">
        <v>50</v>
      </c>
      <c r="B322" s="5">
        <v>0</v>
      </c>
      <c r="C322" s="5">
        <v>0</v>
      </c>
      <c r="D322" s="5">
        <v>1</v>
      </c>
      <c r="E322" s="5">
        <v>223</v>
      </c>
      <c r="F322" s="5">
        <f>ROUND(Source!AQ312,O322)</f>
        <v>0</v>
      </c>
      <c r="G322" s="5" t="s">
        <v>82</v>
      </c>
      <c r="H322" s="5" t="s">
        <v>83</v>
      </c>
      <c r="I322" s="5"/>
      <c r="J322" s="5"/>
      <c r="K322" s="5">
        <v>223</v>
      </c>
      <c r="L322" s="5">
        <v>9</v>
      </c>
      <c r="M322" s="5">
        <v>3</v>
      </c>
      <c r="N322" s="5" t="s">
        <v>6</v>
      </c>
      <c r="O322" s="5">
        <v>2</v>
      </c>
      <c r="P322" s="5">
        <f>ROUND(Source!EI312,O322)</f>
        <v>0</v>
      </c>
      <c r="Q322" s="5"/>
      <c r="R322" s="5"/>
      <c r="S322" s="5"/>
      <c r="T322" s="5"/>
      <c r="U322" s="5"/>
      <c r="V322" s="5"/>
      <c r="W322" s="5">
        <v>0</v>
      </c>
      <c r="X322" s="5">
        <v>1</v>
      </c>
      <c r="Y322" s="5">
        <v>0</v>
      </c>
      <c r="Z322" s="5">
        <v>0</v>
      </c>
      <c r="AA322" s="5">
        <v>1</v>
      </c>
      <c r="AB322" s="5">
        <v>0</v>
      </c>
    </row>
    <row r="323" spans="1:28">
      <c r="A323" s="5">
        <v>50</v>
      </c>
      <c r="B323" s="5">
        <v>0</v>
      </c>
      <c r="C323" s="5">
        <v>0</v>
      </c>
      <c r="D323" s="5">
        <v>1</v>
      </c>
      <c r="E323" s="5">
        <v>229</v>
      </c>
      <c r="F323" s="5">
        <f>ROUND(Source!AZ312,O323)</f>
        <v>0</v>
      </c>
      <c r="G323" s="5" t="s">
        <v>84</v>
      </c>
      <c r="H323" s="5" t="s">
        <v>85</v>
      </c>
      <c r="I323" s="5"/>
      <c r="J323" s="5"/>
      <c r="K323" s="5">
        <v>229</v>
      </c>
      <c r="L323" s="5">
        <v>10</v>
      </c>
      <c r="M323" s="5">
        <v>3</v>
      </c>
      <c r="N323" s="5" t="s">
        <v>6</v>
      </c>
      <c r="O323" s="5">
        <v>2</v>
      </c>
      <c r="P323" s="5">
        <f>ROUND(Source!ER312,O323)</f>
        <v>0</v>
      </c>
      <c r="Q323" s="5"/>
      <c r="R323" s="5"/>
      <c r="S323" s="5"/>
      <c r="T323" s="5"/>
      <c r="U323" s="5"/>
      <c r="V323" s="5"/>
      <c r="W323" s="5">
        <v>0</v>
      </c>
      <c r="X323" s="5">
        <v>1</v>
      </c>
      <c r="Y323" s="5">
        <v>0</v>
      </c>
      <c r="Z323" s="5">
        <v>0</v>
      </c>
      <c r="AA323" s="5">
        <v>1</v>
      </c>
      <c r="AB323" s="5">
        <v>0</v>
      </c>
    </row>
    <row r="324" spans="1:28">
      <c r="A324" s="5">
        <v>50</v>
      </c>
      <c r="B324" s="5">
        <v>0</v>
      </c>
      <c r="C324" s="5">
        <v>0</v>
      </c>
      <c r="D324" s="5">
        <v>1</v>
      </c>
      <c r="E324" s="5">
        <v>203</v>
      </c>
      <c r="F324" s="5">
        <f>ROUND(Source!Q312,O324)</f>
        <v>123726.71</v>
      </c>
      <c r="G324" s="5" t="s">
        <v>86</v>
      </c>
      <c r="H324" s="5" t="s">
        <v>87</v>
      </c>
      <c r="I324" s="5"/>
      <c r="J324" s="5"/>
      <c r="K324" s="5">
        <v>203</v>
      </c>
      <c r="L324" s="5">
        <v>11</v>
      </c>
      <c r="M324" s="5">
        <v>3</v>
      </c>
      <c r="N324" s="5" t="s">
        <v>6</v>
      </c>
      <c r="O324" s="5">
        <v>2</v>
      </c>
      <c r="P324" s="5">
        <f>ROUND(Source!DI312,O324)</f>
        <v>1674222.9</v>
      </c>
      <c r="Q324" s="5"/>
      <c r="R324" s="5"/>
      <c r="S324" s="5"/>
      <c r="T324" s="5"/>
      <c r="U324" s="5"/>
      <c r="V324" s="5"/>
      <c r="W324" s="5">
        <v>123726.71</v>
      </c>
      <c r="X324" s="5">
        <v>1</v>
      </c>
      <c r="Y324" s="5">
        <v>123726.71</v>
      </c>
      <c r="Z324" s="5">
        <v>1674222.9</v>
      </c>
      <c r="AA324" s="5">
        <v>1</v>
      </c>
      <c r="AB324" s="5">
        <v>1674222.9</v>
      </c>
    </row>
    <row r="325" spans="1:28">
      <c r="A325" s="5">
        <v>50</v>
      </c>
      <c r="B325" s="5">
        <v>0</v>
      </c>
      <c r="C325" s="5">
        <v>0</v>
      </c>
      <c r="D325" s="5">
        <v>1</v>
      </c>
      <c r="E325" s="5">
        <v>231</v>
      </c>
      <c r="F325" s="5">
        <f>ROUND(Source!BB312,O325)</f>
        <v>0</v>
      </c>
      <c r="G325" s="5" t="s">
        <v>88</v>
      </c>
      <c r="H325" s="5" t="s">
        <v>89</v>
      </c>
      <c r="I325" s="5"/>
      <c r="J325" s="5"/>
      <c r="K325" s="5">
        <v>231</v>
      </c>
      <c r="L325" s="5">
        <v>12</v>
      </c>
      <c r="M325" s="5">
        <v>3</v>
      </c>
      <c r="N325" s="5" t="s">
        <v>6</v>
      </c>
      <c r="O325" s="5">
        <v>2</v>
      </c>
      <c r="P325" s="5">
        <f>ROUND(Source!ET312,O325)</f>
        <v>0</v>
      </c>
      <c r="Q325" s="5"/>
      <c r="R325" s="5"/>
      <c r="S325" s="5"/>
      <c r="T325" s="5"/>
      <c r="U325" s="5"/>
      <c r="V325" s="5"/>
      <c r="W325" s="5">
        <v>0</v>
      </c>
      <c r="X325" s="5">
        <v>1</v>
      </c>
      <c r="Y325" s="5">
        <v>0</v>
      </c>
      <c r="Z325" s="5">
        <v>0</v>
      </c>
      <c r="AA325" s="5">
        <v>1</v>
      </c>
      <c r="AB325" s="5">
        <v>0</v>
      </c>
    </row>
    <row r="326" spans="1:28">
      <c r="A326" s="5">
        <v>50</v>
      </c>
      <c r="B326" s="5">
        <v>0</v>
      </c>
      <c r="C326" s="5">
        <v>0</v>
      </c>
      <c r="D326" s="5">
        <v>1</v>
      </c>
      <c r="E326" s="5">
        <v>204</v>
      </c>
      <c r="F326" s="5">
        <f>ROUND(Source!R312,O326)</f>
        <v>11253.57</v>
      </c>
      <c r="G326" s="5" t="s">
        <v>90</v>
      </c>
      <c r="H326" s="5" t="s">
        <v>91</v>
      </c>
      <c r="I326" s="5"/>
      <c r="J326" s="5"/>
      <c r="K326" s="5">
        <v>204</v>
      </c>
      <c r="L326" s="5">
        <v>13</v>
      </c>
      <c r="M326" s="5">
        <v>3</v>
      </c>
      <c r="N326" s="5" t="s">
        <v>6</v>
      </c>
      <c r="O326" s="5">
        <v>2</v>
      </c>
      <c r="P326" s="5">
        <f>ROUND(Source!DJ312,O326)</f>
        <v>525204.13</v>
      </c>
      <c r="Q326" s="5"/>
      <c r="R326" s="5"/>
      <c r="S326" s="5"/>
      <c r="T326" s="5"/>
      <c r="U326" s="5"/>
      <c r="V326" s="5"/>
      <c r="W326" s="5">
        <v>11253.57</v>
      </c>
      <c r="X326" s="5">
        <v>1</v>
      </c>
      <c r="Y326" s="5">
        <v>11253.57</v>
      </c>
      <c r="Z326" s="5">
        <v>525204.13</v>
      </c>
      <c r="AA326" s="5">
        <v>1</v>
      </c>
      <c r="AB326" s="5">
        <v>525204.13</v>
      </c>
    </row>
    <row r="327" spans="1:28">
      <c r="A327" s="5">
        <v>50</v>
      </c>
      <c r="B327" s="5">
        <v>0</v>
      </c>
      <c r="C327" s="5">
        <v>0</v>
      </c>
      <c r="D327" s="5">
        <v>1</v>
      </c>
      <c r="E327" s="5">
        <v>205</v>
      </c>
      <c r="F327" s="5">
        <f>ROUND(Source!S312,O327)</f>
        <v>31124.66</v>
      </c>
      <c r="G327" s="5" t="s">
        <v>92</v>
      </c>
      <c r="H327" s="5" t="s">
        <v>93</v>
      </c>
      <c r="I327" s="5"/>
      <c r="J327" s="5"/>
      <c r="K327" s="5">
        <v>205</v>
      </c>
      <c r="L327" s="5">
        <v>14</v>
      </c>
      <c r="M327" s="5">
        <v>3</v>
      </c>
      <c r="N327" s="5" t="s">
        <v>6</v>
      </c>
      <c r="O327" s="5">
        <v>2</v>
      </c>
      <c r="P327" s="5">
        <f>ROUND(Source!DK312,O327)</f>
        <v>1452587.86</v>
      </c>
      <c r="Q327" s="5"/>
      <c r="R327" s="5"/>
      <c r="S327" s="5"/>
      <c r="T327" s="5"/>
      <c r="U327" s="5"/>
      <c r="V327" s="5"/>
      <c r="W327" s="5">
        <v>31124.66</v>
      </c>
      <c r="X327" s="5">
        <v>1</v>
      </c>
      <c r="Y327" s="5">
        <v>31124.66</v>
      </c>
      <c r="Z327" s="5">
        <v>1452587.86</v>
      </c>
      <c r="AA327" s="5">
        <v>1</v>
      </c>
      <c r="AB327" s="5">
        <v>1452587.86</v>
      </c>
    </row>
    <row r="328" spans="1:28">
      <c r="A328" s="5">
        <v>50</v>
      </c>
      <c r="B328" s="5">
        <v>0</v>
      </c>
      <c r="C328" s="5">
        <v>0</v>
      </c>
      <c r="D328" s="5">
        <v>1</v>
      </c>
      <c r="E328" s="5">
        <v>232</v>
      </c>
      <c r="F328" s="5">
        <f>ROUND(Source!BC312,O328)</f>
        <v>0</v>
      </c>
      <c r="G328" s="5" t="s">
        <v>94</v>
      </c>
      <c r="H328" s="5" t="s">
        <v>95</v>
      </c>
      <c r="I328" s="5"/>
      <c r="J328" s="5"/>
      <c r="K328" s="5">
        <v>232</v>
      </c>
      <c r="L328" s="5">
        <v>15</v>
      </c>
      <c r="M328" s="5">
        <v>3</v>
      </c>
      <c r="N328" s="5" t="s">
        <v>6</v>
      </c>
      <c r="O328" s="5">
        <v>2</v>
      </c>
      <c r="P328" s="5">
        <f>ROUND(Source!EU312,O328)</f>
        <v>0</v>
      </c>
      <c r="Q328" s="5"/>
      <c r="R328" s="5"/>
      <c r="S328" s="5"/>
      <c r="T328" s="5"/>
      <c r="U328" s="5"/>
      <c r="V328" s="5"/>
      <c r="W328" s="5">
        <v>0</v>
      </c>
      <c r="X328" s="5">
        <v>1</v>
      </c>
      <c r="Y328" s="5">
        <v>0</v>
      </c>
      <c r="Z328" s="5">
        <v>0</v>
      </c>
      <c r="AA328" s="5">
        <v>1</v>
      </c>
      <c r="AB328" s="5">
        <v>0</v>
      </c>
    </row>
    <row r="329" spans="1:28">
      <c r="A329" s="5">
        <v>50</v>
      </c>
      <c r="B329" s="5">
        <v>0</v>
      </c>
      <c r="C329" s="5">
        <v>0</v>
      </c>
      <c r="D329" s="5">
        <v>1</v>
      </c>
      <c r="E329" s="5">
        <v>214</v>
      </c>
      <c r="F329" s="5">
        <f>ROUND(Source!AS312,O329)</f>
        <v>1002039.07</v>
      </c>
      <c r="G329" s="5" t="s">
        <v>96</v>
      </c>
      <c r="H329" s="5" t="s">
        <v>97</v>
      </c>
      <c r="I329" s="5"/>
      <c r="J329" s="5"/>
      <c r="K329" s="5">
        <v>214</v>
      </c>
      <c r="L329" s="5">
        <v>16</v>
      </c>
      <c r="M329" s="5">
        <v>3</v>
      </c>
      <c r="N329" s="5" t="s">
        <v>6</v>
      </c>
      <c r="O329" s="5">
        <v>2</v>
      </c>
      <c r="P329" s="5">
        <f>ROUND(Source!EK312,O329)</f>
        <v>15411306.1</v>
      </c>
      <c r="Q329" s="5"/>
      <c r="R329" s="5"/>
      <c r="S329" s="5"/>
      <c r="T329" s="5"/>
      <c r="U329" s="5"/>
      <c r="V329" s="5"/>
      <c r="W329" s="5">
        <v>1002039.07</v>
      </c>
      <c r="X329" s="5">
        <v>1</v>
      </c>
      <c r="Y329" s="5">
        <v>1002039.07</v>
      </c>
      <c r="Z329" s="5">
        <v>15411306.1</v>
      </c>
      <c r="AA329" s="5">
        <v>1</v>
      </c>
      <c r="AB329" s="5">
        <v>15411306.1</v>
      </c>
    </row>
    <row r="330" spans="1:28">
      <c r="A330" s="5">
        <v>50</v>
      </c>
      <c r="B330" s="5">
        <v>0</v>
      </c>
      <c r="C330" s="5">
        <v>0</v>
      </c>
      <c r="D330" s="5">
        <v>1</v>
      </c>
      <c r="E330" s="5">
        <v>215</v>
      </c>
      <c r="F330" s="5">
        <f>ROUND(Source!AT312,O330)</f>
        <v>0</v>
      </c>
      <c r="G330" s="5" t="s">
        <v>98</v>
      </c>
      <c r="H330" s="5" t="s">
        <v>99</v>
      </c>
      <c r="I330" s="5"/>
      <c r="J330" s="5"/>
      <c r="K330" s="5">
        <v>215</v>
      </c>
      <c r="L330" s="5">
        <v>17</v>
      </c>
      <c r="M330" s="5">
        <v>3</v>
      </c>
      <c r="N330" s="5" t="s">
        <v>6</v>
      </c>
      <c r="O330" s="5">
        <v>2</v>
      </c>
      <c r="P330" s="5">
        <f>ROUND(Source!EL312,O330)</f>
        <v>0</v>
      </c>
      <c r="Q330" s="5"/>
      <c r="R330" s="5"/>
      <c r="S330" s="5"/>
      <c r="T330" s="5"/>
      <c r="U330" s="5"/>
      <c r="V330" s="5"/>
      <c r="W330" s="5">
        <v>0</v>
      </c>
      <c r="X330" s="5">
        <v>1</v>
      </c>
      <c r="Y330" s="5">
        <v>0</v>
      </c>
      <c r="Z330" s="5">
        <v>0</v>
      </c>
      <c r="AA330" s="5">
        <v>1</v>
      </c>
      <c r="AB330" s="5">
        <v>0</v>
      </c>
    </row>
    <row r="331" spans="1:28">
      <c r="A331" s="5">
        <v>50</v>
      </c>
      <c r="B331" s="5">
        <v>0</v>
      </c>
      <c r="C331" s="5">
        <v>0</v>
      </c>
      <c r="D331" s="5">
        <v>1</v>
      </c>
      <c r="E331" s="5">
        <v>217</v>
      </c>
      <c r="F331" s="5">
        <f>ROUND(Source!AU312,O331)</f>
        <v>0</v>
      </c>
      <c r="G331" s="5" t="s">
        <v>100</v>
      </c>
      <c r="H331" s="5" t="s">
        <v>101</v>
      </c>
      <c r="I331" s="5"/>
      <c r="J331" s="5"/>
      <c r="K331" s="5">
        <v>217</v>
      </c>
      <c r="L331" s="5">
        <v>18</v>
      </c>
      <c r="M331" s="5">
        <v>3</v>
      </c>
      <c r="N331" s="5" t="s">
        <v>6</v>
      </c>
      <c r="O331" s="5">
        <v>2</v>
      </c>
      <c r="P331" s="5">
        <f>ROUND(Source!EM312,O331)</f>
        <v>0</v>
      </c>
      <c r="Q331" s="5"/>
      <c r="R331" s="5"/>
      <c r="S331" s="5"/>
      <c r="T331" s="5"/>
      <c r="U331" s="5"/>
      <c r="V331" s="5"/>
      <c r="W331" s="5">
        <v>0</v>
      </c>
      <c r="X331" s="5">
        <v>1</v>
      </c>
      <c r="Y331" s="5">
        <v>0</v>
      </c>
      <c r="Z331" s="5">
        <v>0</v>
      </c>
      <c r="AA331" s="5">
        <v>1</v>
      </c>
      <c r="AB331" s="5">
        <v>0</v>
      </c>
    </row>
    <row r="332" spans="1:28">
      <c r="A332" s="5">
        <v>50</v>
      </c>
      <c r="B332" s="5">
        <v>0</v>
      </c>
      <c r="C332" s="5">
        <v>0</v>
      </c>
      <c r="D332" s="5">
        <v>1</v>
      </c>
      <c r="E332" s="5">
        <v>230</v>
      </c>
      <c r="F332" s="5">
        <f>ROUND(Source!BA312,O332)</f>
        <v>0</v>
      </c>
      <c r="G332" s="5" t="s">
        <v>102</v>
      </c>
      <c r="H332" s="5" t="s">
        <v>103</v>
      </c>
      <c r="I332" s="5"/>
      <c r="J332" s="5"/>
      <c r="K332" s="5">
        <v>230</v>
      </c>
      <c r="L332" s="5">
        <v>19</v>
      </c>
      <c r="M332" s="5">
        <v>3</v>
      </c>
      <c r="N332" s="5" t="s">
        <v>6</v>
      </c>
      <c r="O332" s="5">
        <v>2</v>
      </c>
      <c r="P332" s="5">
        <f>ROUND(Source!ES312,O332)</f>
        <v>0</v>
      </c>
      <c r="Q332" s="5"/>
      <c r="R332" s="5"/>
      <c r="S332" s="5"/>
      <c r="T332" s="5"/>
      <c r="U332" s="5"/>
      <c r="V332" s="5"/>
      <c r="W332" s="5">
        <v>0</v>
      </c>
      <c r="X332" s="5">
        <v>1</v>
      </c>
      <c r="Y332" s="5">
        <v>0</v>
      </c>
      <c r="Z332" s="5">
        <v>0</v>
      </c>
      <c r="AA332" s="5">
        <v>1</v>
      </c>
      <c r="AB332" s="5">
        <v>0</v>
      </c>
    </row>
    <row r="333" spans="1:28">
      <c r="A333" s="5">
        <v>50</v>
      </c>
      <c r="B333" s="5">
        <v>0</v>
      </c>
      <c r="C333" s="5">
        <v>0</v>
      </c>
      <c r="D333" s="5">
        <v>1</v>
      </c>
      <c r="E333" s="5">
        <v>206</v>
      </c>
      <c r="F333" s="5">
        <f>ROUND(Source!T312,O333)</f>
        <v>0</v>
      </c>
      <c r="G333" s="5" t="s">
        <v>104</v>
      </c>
      <c r="H333" s="5" t="s">
        <v>105</v>
      </c>
      <c r="I333" s="5"/>
      <c r="J333" s="5"/>
      <c r="K333" s="5">
        <v>206</v>
      </c>
      <c r="L333" s="5">
        <v>20</v>
      </c>
      <c r="M333" s="5">
        <v>3</v>
      </c>
      <c r="N333" s="5" t="s">
        <v>6</v>
      </c>
      <c r="O333" s="5">
        <v>2</v>
      </c>
      <c r="P333" s="5">
        <f>ROUND(Source!DL312,O333)</f>
        <v>0</v>
      </c>
      <c r="Q333" s="5"/>
      <c r="R333" s="5"/>
      <c r="S333" s="5"/>
      <c r="T333" s="5"/>
      <c r="U333" s="5"/>
      <c r="V333" s="5"/>
      <c r="W333" s="5">
        <v>0</v>
      </c>
      <c r="X333" s="5">
        <v>1</v>
      </c>
      <c r="Y333" s="5">
        <v>0</v>
      </c>
      <c r="Z333" s="5">
        <v>0</v>
      </c>
      <c r="AA333" s="5">
        <v>1</v>
      </c>
      <c r="AB333" s="5">
        <v>0</v>
      </c>
    </row>
    <row r="334" spans="1:28">
      <c r="A334" s="5">
        <v>50</v>
      </c>
      <c r="B334" s="5">
        <v>0</v>
      </c>
      <c r="C334" s="5">
        <v>0</v>
      </c>
      <c r="D334" s="5">
        <v>1</v>
      </c>
      <c r="E334" s="5">
        <v>207</v>
      </c>
      <c r="F334" s="5">
        <f>Source!U312</f>
        <v>2806.40689656</v>
      </c>
      <c r="G334" s="5" t="s">
        <v>106</v>
      </c>
      <c r="H334" s="5" t="s">
        <v>107</v>
      </c>
      <c r="I334" s="5"/>
      <c r="J334" s="5"/>
      <c r="K334" s="5">
        <v>207</v>
      </c>
      <c r="L334" s="5">
        <v>21</v>
      </c>
      <c r="M334" s="5">
        <v>3</v>
      </c>
      <c r="N334" s="5" t="s">
        <v>6</v>
      </c>
      <c r="O334" s="5">
        <v>-1</v>
      </c>
      <c r="P334" s="5">
        <f>Source!DM312</f>
        <v>2806.40689656</v>
      </c>
      <c r="Q334" s="5"/>
      <c r="R334" s="5"/>
      <c r="S334" s="5"/>
      <c r="T334" s="5"/>
      <c r="U334" s="5"/>
      <c r="V334" s="5"/>
      <c r="W334" s="5">
        <v>2806.4068965599995</v>
      </c>
      <c r="X334" s="5">
        <v>1</v>
      </c>
      <c r="Y334" s="5">
        <v>2806.4068965599995</v>
      </c>
      <c r="Z334" s="5">
        <v>2806.4068965599995</v>
      </c>
      <c r="AA334" s="5">
        <v>1</v>
      </c>
      <c r="AB334" s="5">
        <v>2806.4068965599995</v>
      </c>
    </row>
    <row r="335" spans="1:28">
      <c r="A335" s="5">
        <v>50</v>
      </c>
      <c r="B335" s="5">
        <v>0</v>
      </c>
      <c r="C335" s="5">
        <v>0</v>
      </c>
      <c r="D335" s="5">
        <v>1</v>
      </c>
      <c r="E335" s="5">
        <v>208</v>
      </c>
      <c r="F335" s="5">
        <f>Source!V312</f>
        <v>0</v>
      </c>
      <c r="G335" s="5" t="s">
        <v>108</v>
      </c>
      <c r="H335" s="5" t="s">
        <v>109</v>
      </c>
      <c r="I335" s="5"/>
      <c r="J335" s="5"/>
      <c r="K335" s="5">
        <v>208</v>
      </c>
      <c r="L335" s="5">
        <v>22</v>
      </c>
      <c r="M335" s="5">
        <v>3</v>
      </c>
      <c r="N335" s="5" t="s">
        <v>6</v>
      </c>
      <c r="O335" s="5">
        <v>-1</v>
      </c>
      <c r="P335" s="5">
        <f>Source!DN312</f>
        <v>0</v>
      </c>
      <c r="Q335" s="5"/>
      <c r="R335" s="5"/>
      <c r="S335" s="5"/>
      <c r="T335" s="5"/>
      <c r="U335" s="5"/>
      <c r="V335" s="5"/>
      <c r="W335" s="5">
        <v>0</v>
      </c>
      <c r="X335" s="5">
        <v>1</v>
      </c>
      <c r="Y335" s="5">
        <v>0</v>
      </c>
      <c r="Z335" s="5">
        <v>0</v>
      </c>
      <c r="AA335" s="5">
        <v>1</v>
      </c>
      <c r="AB335" s="5">
        <v>0</v>
      </c>
    </row>
    <row r="336" spans="1:28">
      <c r="A336" s="5">
        <v>50</v>
      </c>
      <c r="B336" s="5">
        <v>0</v>
      </c>
      <c r="C336" s="5">
        <v>0</v>
      </c>
      <c r="D336" s="5">
        <v>1</v>
      </c>
      <c r="E336" s="5">
        <v>209</v>
      </c>
      <c r="F336" s="5">
        <f>ROUND(Source!W312,O336)</f>
        <v>0</v>
      </c>
      <c r="G336" s="5" t="s">
        <v>110</v>
      </c>
      <c r="H336" s="5" t="s">
        <v>111</v>
      </c>
      <c r="I336" s="5"/>
      <c r="J336" s="5"/>
      <c r="K336" s="5">
        <v>209</v>
      </c>
      <c r="L336" s="5">
        <v>23</v>
      </c>
      <c r="M336" s="5">
        <v>3</v>
      </c>
      <c r="N336" s="5" t="s">
        <v>6</v>
      </c>
      <c r="O336" s="5">
        <v>2</v>
      </c>
      <c r="P336" s="5">
        <f>ROUND(Source!DO312,O336)</f>
        <v>0</v>
      </c>
      <c r="Q336" s="5"/>
      <c r="R336" s="5"/>
      <c r="S336" s="5"/>
      <c r="T336" s="5"/>
      <c r="U336" s="5"/>
      <c r="V336" s="5"/>
      <c r="W336" s="5">
        <v>0</v>
      </c>
      <c r="X336" s="5">
        <v>1</v>
      </c>
      <c r="Y336" s="5">
        <v>0</v>
      </c>
      <c r="Z336" s="5">
        <v>0</v>
      </c>
      <c r="AA336" s="5">
        <v>1</v>
      </c>
      <c r="AB336" s="5">
        <v>0</v>
      </c>
    </row>
    <row r="337" spans="1:50">
      <c r="A337" s="5">
        <v>50</v>
      </c>
      <c r="B337" s="5">
        <v>0</v>
      </c>
      <c r="C337" s="5">
        <v>0</v>
      </c>
      <c r="D337" s="5">
        <v>1</v>
      </c>
      <c r="E337" s="5">
        <v>233</v>
      </c>
      <c r="F337" s="5">
        <f>ROUND(Source!BD312,O337)</f>
        <v>0</v>
      </c>
      <c r="G337" s="5" t="s">
        <v>112</v>
      </c>
      <c r="H337" s="5" t="s">
        <v>113</v>
      </c>
      <c r="I337" s="5"/>
      <c r="J337" s="5"/>
      <c r="K337" s="5">
        <v>233</v>
      </c>
      <c r="L337" s="5">
        <v>24</v>
      </c>
      <c r="M337" s="5">
        <v>3</v>
      </c>
      <c r="N337" s="5" t="s">
        <v>6</v>
      </c>
      <c r="O337" s="5">
        <v>2</v>
      </c>
      <c r="P337" s="5">
        <f>ROUND(Source!EV312,O337)</f>
        <v>0</v>
      </c>
      <c r="Q337" s="5"/>
      <c r="R337" s="5"/>
      <c r="S337" s="5"/>
      <c r="T337" s="5"/>
      <c r="U337" s="5"/>
      <c r="V337" s="5"/>
      <c r="W337" s="5">
        <v>0</v>
      </c>
      <c r="X337" s="5">
        <v>1</v>
      </c>
      <c r="Y337" s="5">
        <v>0</v>
      </c>
      <c r="Z337" s="5">
        <v>0</v>
      </c>
      <c r="AA337" s="5">
        <v>1</v>
      </c>
      <c r="AB337" s="5">
        <v>0</v>
      </c>
    </row>
    <row r="338" spans="1:50">
      <c r="A338" s="5">
        <v>50</v>
      </c>
      <c r="B338" s="5">
        <v>0</v>
      </c>
      <c r="C338" s="5">
        <v>0</v>
      </c>
      <c r="D338" s="5">
        <v>1</v>
      </c>
      <c r="E338" s="5">
        <v>210</v>
      </c>
      <c r="F338" s="5">
        <f>ROUND(Source!X312,O338)</f>
        <v>49345.01</v>
      </c>
      <c r="G338" s="5" t="s">
        <v>114</v>
      </c>
      <c r="H338" s="5" t="s">
        <v>115</v>
      </c>
      <c r="I338" s="5"/>
      <c r="J338" s="5"/>
      <c r="K338" s="5">
        <v>210</v>
      </c>
      <c r="L338" s="5">
        <v>25</v>
      </c>
      <c r="M338" s="5">
        <v>3</v>
      </c>
      <c r="N338" s="5" t="s">
        <v>6</v>
      </c>
      <c r="O338" s="5">
        <v>2</v>
      </c>
      <c r="P338" s="5">
        <f>ROUND(Source!DP312,O338)</f>
        <v>1631315.29</v>
      </c>
      <c r="Q338" s="5"/>
      <c r="R338" s="5"/>
      <c r="S338" s="5"/>
      <c r="T338" s="5"/>
      <c r="U338" s="5"/>
      <c r="V338" s="5"/>
      <c r="W338" s="5">
        <v>49345.01</v>
      </c>
      <c r="X338" s="5">
        <v>1</v>
      </c>
      <c r="Y338" s="5">
        <v>49345.01</v>
      </c>
      <c r="Z338" s="5">
        <v>1631315.29</v>
      </c>
      <c r="AA338" s="5">
        <v>1</v>
      </c>
      <c r="AB338" s="5">
        <v>1631315.29</v>
      </c>
    </row>
    <row r="339" spans="1:50">
      <c r="A339" s="5">
        <v>50</v>
      </c>
      <c r="B339" s="5">
        <v>0</v>
      </c>
      <c r="C339" s="5">
        <v>0</v>
      </c>
      <c r="D339" s="5">
        <v>1</v>
      </c>
      <c r="E339" s="5">
        <v>211</v>
      </c>
      <c r="F339" s="5">
        <f>ROUND(Source!Y312,O339)</f>
        <v>29929.119999999999</v>
      </c>
      <c r="G339" s="5" t="s">
        <v>116</v>
      </c>
      <c r="H339" s="5" t="s">
        <v>117</v>
      </c>
      <c r="I339" s="5"/>
      <c r="J339" s="5"/>
      <c r="K339" s="5">
        <v>211</v>
      </c>
      <c r="L339" s="5">
        <v>26</v>
      </c>
      <c r="M339" s="5">
        <v>3</v>
      </c>
      <c r="N339" s="5" t="s">
        <v>6</v>
      </c>
      <c r="O339" s="5">
        <v>2</v>
      </c>
      <c r="P339" s="5">
        <f>ROUND(Source!DQ312,O339)</f>
        <v>723897.35</v>
      </c>
      <c r="Q339" s="5"/>
      <c r="R339" s="5"/>
      <c r="S339" s="5"/>
      <c r="T339" s="5"/>
      <c r="U339" s="5"/>
      <c r="V339" s="5"/>
      <c r="W339" s="5">
        <v>29929.119999999999</v>
      </c>
      <c r="X339" s="5">
        <v>1</v>
      </c>
      <c r="Y339" s="5">
        <v>29929.119999999999</v>
      </c>
      <c r="Z339" s="5">
        <v>723897.35</v>
      </c>
      <c r="AA339" s="5">
        <v>1</v>
      </c>
      <c r="AB339" s="5">
        <v>723897.35</v>
      </c>
    </row>
    <row r="340" spans="1:50">
      <c r="A340" s="5">
        <v>50</v>
      </c>
      <c r="B340" s="5">
        <v>0</v>
      </c>
      <c r="C340" s="5">
        <v>0</v>
      </c>
      <c r="D340" s="5">
        <v>1</v>
      </c>
      <c r="E340" s="5">
        <v>224</v>
      </c>
      <c r="F340" s="5">
        <f>ROUND(Source!AR312,O340)</f>
        <v>1002039.07</v>
      </c>
      <c r="G340" s="5" t="s">
        <v>118</v>
      </c>
      <c r="H340" s="5" t="s">
        <v>119</v>
      </c>
      <c r="I340" s="5"/>
      <c r="J340" s="5"/>
      <c r="K340" s="5">
        <v>224</v>
      </c>
      <c r="L340" s="5">
        <v>27</v>
      </c>
      <c r="M340" s="5">
        <v>3</v>
      </c>
      <c r="N340" s="5" t="s">
        <v>6</v>
      </c>
      <c r="O340" s="5">
        <v>2</v>
      </c>
      <c r="P340" s="5">
        <f>ROUND(Source!EJ312,O340)</f>
        <v>15411306.1</v>
      </c>
      <c r="Q340" s="5"/>
      <c r="R340" s="5"/>
      <c r="S340" s="5"/>
      <c r="T340" s="5"/>
      <c r="U340" s="5"/>
      <c r="V340" s="5"/>
      <c r="W340" s="5">
        <v>1002039.07</v>
      </c>
      <c r="X340" s="5">
        <v>1</v>
      </c>
      <c r="Y340" s="5">
        <v>1002039.07</v>
      </c>
      <c r="Z340" s="5">
        <v>15411306.1</v>
      </c>
      <c r="AA340" s="5">
        <v>1</v>
      </c>
      <c r="AB340" s="5">
        <v>15411306.1</v>
      </c>
    </row>
    <row r="341" spans="1:50">
      <c r="A341" s="5">
        <v>50</v>
      </c>
      <c r="B341" s="5">
        <v>1</v>
      </c>
      <c r="C341" s="5">
        <v>0</v>
      </c>
      <c r="D341" s="5">
        <v>2</v>
      </c>
      <c r="E341" s="5">
        <v>0</v>
      </c>
      <c r="F341" s="5">
        <f>F340-F342-F343</f>
        <v>1002039.07</v>
      </c>
      <c r="G341" s="5" t="s">
        <v>282</v>
      </c>
      <c r="H341" s="5" t="s">
        <v>29</v>
      </c>
      <c r="I341" s="5"/>
      <c r="J341" s="5"/>
      <c r="K341" s="5">
        <v>212</v>
      </c>
      <c r="L341" s="5">
        <v>28</v>
      </c>
      <c r="M341" s="5">
        <v>0</v>
      </c>
      <c r="N341" s="5" t="s">
        <v>6</v>
      </c>
      <c r="O341" s="5">
        <v>-1</v>
      </c>
      <c r="P341" s="5">
        <f>P340-P342-P343</f>
        <v>15411306.1</v>
      </c>
      <c r="Q341" s="5"/>
      <c r="R341" s="5"/>
      <c r="S341" s="5"/>
      <c r="T341" s="5"/>
      <c r="U341" s="5"/>
      <c r="V341" s="5"/>
      <c r="W341" s="5">
        <v>1002039.07</v>
      </c>
      <c r="X341" s="5">
        <v>1</v>
      </c>
      <c r="Y341" s="5">
        <v>1002039.07</v>
      </c>
      <c r="Z341" s="5">
        <v>15411306.1</v>
      </c>
      <c r="AA341" s="5">
        <v>1</v>
      </c>
      <c r="AB341" s="5">
        <v>15411306.1</v>
      </c>
    </row>
    <row r="342" spans="1:50">
      <c r="A342" s="5">
        <v>50</v>
      </c>
      <c r="B342" s="5">
        <v>1</v>
      </c>
      <c r="C342" s="5">
        <v>0</v>
      </c>
      <c r="D342" s="5">
        <v>2</v>
      </c>
      <c r="E342" s="5">
        <v>0</v>
      </c>
      <c r="F342" s="5">
        <f>ROUND(F300,O342)</f>
        <v>0</v>
      </c>
      <c r="G342" s="5" t="s">
        <v>283</v>
      </c>
      <c r="H342" s="5" t="s">
        <v>284</v>
      </c>
      <c r="I342" s="5"/>
      <c r="J342" s="5"/>
      <c r="K342" s="5">
        <v>212</v>
      </c>
      <c r="L342" s="5">
        <v>29</v>
      </c>
      <c r="M342" s="5">
        <v>0</v>
      </c>
      <c r="N342" s="5" t="s">
        <v>6</v>
      </c>
      <c r="O342" s="5">
        <v>2</v>
      </c>
      <c r="P342" s="5">
        <f>ROUND(P300,O342)</f>
        <v>0</v>
      </c>
      <c r="Q342" s="5"/>
      <c r="R342" s="5"/>
      <c r="S342" s="5"/>
      <c r="T342" s="5"/>
      <c r="U342" s="5"/>
      <c r="V342" s="5"/>
      <c r="W342" s="5">
        <v>0</v>
      </c>
      <c r="X342" s="5">
        <v>1</v>
      </c>
      <c r="Y342" s="5">
        <v>0</v>
      </c>
      <c r="Z342" s="5">
        <v>0</v>
      </c>
      <c r="AA342" s="5">
        <v>1</v>
      </c>
      <c r="AB342" s="5">
        <v>0</v>
      </c>
    </row>
    <row r="343" spans="1:50">
      <c r="A343" s="5">
        <v>50</v>
      </c>
      <c r="B343" s="5">
        <v>1</v>
      </c>
      <c r="C343" s="5">
        <v>0</v>
      </c>
      <c r="D343" s="5">
        <v>2</v>
      </c>
      <c r="E343" s="5">
        <v>0</v>
      </c>
      <c r="F343" s="5">
        <f>ROUND(F301,O343)</f>
        <v>0</v>
      </c>
      <c r="G343" s="5" t="s">
        <v>285</v>
      </c>
      <c r="H343" s="5" t="s">
        <v>122</v>
      </c>
      <c r="I343" s="5"/>
      <c r="J343" s="5"/>
      <c r="K343" s="5">
        <v>212</v>
      </c>
      <c r="L343" s="5">
        <v>30</v>
      </c>
      <c r="M343" s="5">
        <v>0</v>
      </c>
      <c r="N343" s="5" t="s">
        <v>6</v>
      </c>
      <c r="O343" s="5">
        <v>2</v>
      </c>
      <c r="P343" s="5">
        <f>ROUND(P301,O343)</f>
        <v>0</v>
      </c>
      <c r="Q343" s="5"/>
      <c r="R343" s="5"/>
      <c r="S343" s="5"/>
      <c r="T343" s="5"/>
      <c r="U343" s="5"/>
      <c r="V343" s="5"/>
      <c r="W343" s="5">
        <v>0</v>
      </c>
      <c r="X343" s="5">
        <v>1</v>
      </c>
      <c r="Y343" s="5">
        <v>0</v>
      </c>
      <c r="Z343" s="5">
        <v>0</v>
      </c>
      <c r="AA343" s="5">
        <v>1</v>
      </c>
      <c r="AB343" s="5">
        <v>0</v>
      </c>
    </row>
    <row r="346" spans="1:50">
      <c r="A346">
        <v>70</v>
      </c>
      <c r="B346">
        <v>1</v>
      </c>
      <c r="D346">
        <v>1</v>
      </c>
      <c r="E346" t="s">
        <v>286</v>
      </c>
      <c r="F346" t="s">
        <v>287</v>
      </c>
      <c r="G346">
        <v>0</v>
      </c>
      <c r="H346">
        <v>0</v>
      </c>
      <c r="I346" t="s">
        <v>6</v>
      </c>
      <c r="J346">
        <v>1</v>
      </c>
      <c r="K346">
        <v>0</v>
      </c>
      <c r="L346" t="s">
        <v>6</v>
      </c>
      <c r="M346" t="s">
        <v>6</v>
      </c>
      <c r="N346">
        <v>0</v>
      </c>
      <c r="O346">
        <v>0</v>
      </c>
      <c r="P346" t="s">
        <v>6</v>
      </c>
    </row>
    <row r="347" spans="1:50">
      <c r="A347">
        <v>70</v>
      </c>
      <c r="B347">
        <v>1</v>
      </c>
      <c r="D347">
        <v>2</v>
      </c>
      <c r="E347" t="s">
        <v>288</v>
      </c>
      <c r="F347" t="s">
        <v>289</v>
      </c>
      <c r="G347">
        <v>1</v>
      </c>
      <c r="H347">
        <v>0</v>
      </c>
      <c r="I347" t="s">
        <v>6</v>
      </c>
      <c r="J347">
        <v>1</v>
      </c>
      <c r="K347">
        <v>0</v>
      </c>
      <c r="L347" t="s">
        <v>6</v>
      </c>
      <c r="M347" t="s">
        <v>6</v>
      </c>
      <c r="N347">
        <v>0</v>
      </c>
      <c r="O347">
        <v>1</v>
      </c>
      <c r="P347" t="s">
        <v>6</v>
      </c>
    </row>
    <row r="349" spans="1:50">
      <c r="A349">
        <v>-1</v>
      </c>
    </row>
    <row r="351" spans="1:50">
      <c r="A351" s="4">
        <v>75</v>
      </c>
      <c r="B351" s="4" t="s">
        <v>290</v>
      </c>
      <c r="C351" s="4">
        <v>2025</v>
      </c>
      <c r="D351" s="4">
        <v>0</v>
      </c>
      <c r="E351" s="4">
        <v>1</v>
      </c>
      <c r="F351" s="4"/>
      <c r="G351" s="4">
        <v>0</v>
      </c>
      <c r="H351" s="4">
        <v>2</v>
      </c>
      <c r="I351" s="4">
        <v>1</v>
      </c>
      <c r="J351" s="4">
        <v>1</v>
      </c>
      <c r="K351" s="4">
        <v>95</v>
      </c>
      <c r="L351" s="4">
        <v>65</v>
      </c>
      <c r="M351" s="4">
        <v>1</v>
      </c>
      <c r="N351" s="4">
        <v>70322059</v>
      </c>
      <c r="O351" s="4">
        <v>1</v>
      </c>
    </row>
    <row r="352" spans="1:50">
      <c r="A352" s="6">
        <v>1</v>
      </c>
      <c r="B352" s="6" t="s">
        <v>291</v>
      </c>
      <c r="C352" s="6" t="s">
        <v>292</v>
      </c>
      <c r="D352" s="6">
        <v>2025</v>
      </c>
      <c r="E352" s="6">
        <v>1</v>
      </c>
      <c r="F352" s="6">
        <v>1</v>
      </c>
      <c r="G352" s="6">
        <v>1</v>
      </c>
      <c r="H352" s="6">
        <v>0</v>
      </c>
      <c r="I352" s="6">
        <v>2</v>
      </c>
      <c r="J352" s="6">
        <v>1</v>
      </c>
      <c r="K352" s="6">
        <v>1</v>
      </c>
      <c r="L352" s="6">
        <v>1</v>
      </c>
      <c r="M352" s="6">
        <v>1</v>
      </c>
      <c r="N352" s="6">
        <v>1</v>
      </c>
      <c r="O352" s="6">
        <v>1</v>
      </c>
      <c r="P352" s="6">
        <v>1</v>
      </c>
      <c r="Q352" s="6">
        <v>1</v>
      </c>
      <c r="R352" s="6" t="s">
        <v>6</v>
      </c>
      <c r="S352" s="6" t="s">
        <v>6</v>
      </c>
      <c r="T352" s="6" t="s">
        <v>6</v>
      </c>
      <c r="U352" s="6" t="s">
        <v>6</v>
      </c>
      <c r="V352" s="6" t="s">
        <v>6</v>
      </c>
      <c r="W352" s="6" t="s">
        <v>6</v>
      </c>
      <c r="X352" s="6" t="s">
        <v>6</v>
      </c>
      <c r="Y352" s="6" t="s">
        <v>6</v>
      </c>
      <c r="Z352" s="6" t="s">
        <v>6</v>
      </c>
      <c r="AA352" s="6" t="s">
        <v>293</v>
      </c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>
        <v>70322060</v>
      </c>
      <c r="AO352" s="6"/>
      <c r="AP352" s="6"/>
      <c r="AQ352" s="6"/>
      <c r="AR352" s="6"/>
      <c r="AS352" s="6"/>
      <c r="AT352" s="6"/>
      <c r="AU352" s="6"/>
      <c r="AV352" s="6"/>
      <c r="AW352" s="6"/>
      <c r="AX352" s="6"/>
    </row>
    <row r="353" spans="1:50">
      <c r="A353" s="6">
        <v>1</v>
      </c>
      <c r="B353" s="6" t="s">
        <v>291</v>
      </c>
      <c r="C353" s="6" t="s">
        <v>294</v>
      </c>
      <c r="D353" s="6">
        <v>2025</v>
      </c>
      <c r="E353" s="6">
        <v>1</v>
      </c>
      <c r="F353" s="6">
        <v>1</v>
      </c>
      <c r="G353" s="6">
        <v>1</v>
      </c>
      <c r="H353" s="6">
        <v>0</v>
      </c>
      <c r="I353" s="6">
        <v>2</v>
      </c>
      <c r="J353" s="6">
        <v>1</v>
      </c>
      <c r="K353" s="6">
        <v>1</v>
      </c>
      <c r="L353" s="6">
        <v>1</v>
      </c>
      <c r="M353" s="6">
        <v>1</v>
      </c>
      <c r="N353" s="6">
        <v>1</v>
      </c>
      <c r="O353" s="6">
        <v>1</v>
      </c>
      <c r="P353" s="6">
        <v>1</v>
      </c>
      <c r="Q353" s="6">
        <v>1</v>
      </c>
      <c r="R353" s="6" t="s">
        <v>6</v>
      </c>
      <c r="S353" s="6" t="s">
        <v>6</v>
      </c>
      <c r="T353" s="6" t="s">
        <v>6</v>
      </c>
      <c r="U353" s="6" t="s">
        <v>6</v>
      </c>
      <c r="V353" s="6" t="s">
        <v>6</v>
      </c>
      <c r="W353" s="6" t="s">
        <v>6</v>
      </c>
      <c r="X353" s="6" t="s">
        <v>6</v>
      </c>
      <c r="Y353" s="6" t="s">
        <v>6</v>
      </c>
      <c r="Z353" s="6" t="s">
        <v>6</v>
      </c>
      <c r="AA353" s="6" t="s">
        <v>295</v>
      </c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>
        <v>70322061</v>
      </c>
      <c r="AO353" s="6"/>
      <c r="AP353" s="6"/>
      <c r="AQ353" s="6"/>
      <c r="AR353" s="6"/>
      <c r="AS353" s="6"/>
      <c r="AT353" s="6"/>
      <c r="AU353" s="6"/>
      <c r="AV353" s="6"/>
      <c r="AW353" s="6"/>
      <c r="AX353" s="6"/>
    </row>
    <row r="354" spans="1:50">
      <c r="A354" s="4">
        <v>75</v>
      </c>
      <c r="B354" s="4" t="s">
        <v>296</v>
      </c>
      <c r="C354" s="4">
        <v>2000</v>
      </c>
      <c r="D354" s="4">
        <v>0</v>
      </c>
      <c r="E354" s="4">
        <v>1</v>
      </c>
      <c r="F354" s="4">
        <v>0</v>
      </c>
      <c r="G354" s="4">
        <v>0</v>
      </c>
      <c r="H354" s="4">
        <v>1</v>
      </c>
      <c r="I354" s="4">
        <v>0</v>
      </c>
      <c r="J354" s="4">
        <v>1</v>
      </c>
      <c r="K354" s="4">
        <v>98</v>
      </c>
      <c r="L354" s="4">
        <v>77</v>
      </c>
      <c r="M354" s="4">
        <v>0</v>
      </c>
      <c r="N354" s="4">
        <v>70322058</v>
      </c>
      <c r="O354" s="4">
        <v>2</v>
      </c>
    </row>
    <row r="358" spans="1:50">
      <c r="A358">
        <v>65</v>
      </c>
      <c r="C358">
        <v>1</v>
      </c>
      <c r="D358">
        <v>0</v>
      </c>
      <c r="E358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C57"/>
  <sheetViews>
    <sheetView workbookViewId="0"/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297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8200</v>
      </c>
      <c r="CI12" s="1" t="s">
        <v>6</v>
      </c>
      <c r="CJ12" s="1" t="s">
        <v>6</v>
      </c>
      <c r="CK12" s="1">
        <v>75</v>
      </c>
      <c r="CL12" s="1"/>
      <c r="CM12" s="1"/>
      <c r="CN12" s="1"/>
      <c r="CO12" s="1"/>
      <c r="CP12" s="1"/>
      <c r="CQ12" s="1" t="s">
        <v>13</v>
      </c>
      <c r="CR12" s="1" t="s">
        <v>14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6</v>
      </c>
      <c r="DA12" s="1" t="s">
        <v>6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>
      <c r="A14" s="1">
        <v>22</v>
      </c>
      <c r="B14" s="1">
        <v>1</v>
      </c>
      <c r="C14" s="1">
        <v>0</v>
      </c>
      <c r="D14" s="1">
        <v>70322059</v>
      </c>
      <c r="E14" s="1">
        <v>70322058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>
      <c r="A16" s="7">
        <v>3</v>
      </c>
      <c r="B16" s="7">
        <v>0</v>
      </c>
      <c r="C16" s="7" t="s">
        <v>15</v>
      </c>
      <c r="D16" s="7" t="s">
        <v>16</v>
      </c>
      <c r="E16" s="8">
        <f>ROUND((Source!P299)/1000,2)</f>
        <v>15411.31</v>
      </c>
      <c r="F16" s="8">
        <f>ROUND((Source!P300)/1000,2)</f>
        <v>0</v>
      </c>
      <c r="G16" s="8">
        <f>ROUND((Source!P291)/1000,2)</f>
        <v>0</v>
      </c>
      <c r="H16" s="8">
        <f>ROUND((Source!P301)/1000+(Source!P302)/1000,2)</f>
        <v>0</v>
      </c>
      <c r="I16" s="8">
        <f>E16+F16+G16+H16</f>
        <v>15411.31</v>
      </c>
      <c r="J16" s="8">
        <f>ROUND((Source!P297+Source!P296)/1000,2)</f>
        <v>1977.79</v>
      </c>
      <c r="T16" s="9">
        <f>ROUND((Source!F299)/1000,2)</f>
        <v>1002.04</v>
      </c>
      <c r="U16" s="9">
        <f>ROUND((Source!F300)/1000,2)</f>
        <v>0</v>
      </c>
      <c r="V16" s="9">
        <f>ROUND((Source!F291)/1000,2)</f>
        <v>0</v>
      </c>
      <c r="W16" s="9">
        <f>ROUND((Source!F301)/1000+(Source!F302)/1000,2)</f>
        <v>0</v>
      </c>
      <c r="X16" s="9">
        <f>T16+U16+V16+W16</f>
        <v>1002.04</v>
      </c>
      <c r="Y16" s="9">
        <f>ROUND((Source!F297+Source!F296)/1000,2)</f>
        <v>42.38</v>
      </c>
      <c r="AI16" s="7">
        <v>0</v>
      </c>
      <c r="AJ16" s="7">
        <v>-1</v>
      </c>
      <c r="AK16" s="7" t="s">
        <v>18</v>
      </c>
      <c r="AL16" s="7" t="s">
        <v>6</v>
      </c>
      <c r="AM16" s="7" t="s">
        <v>6</v>
      </c>
      <c r="AN16" s="7">
        <v>0</v>
      </c>
      <c r="AO16" s="7" t="s">
        <v>6</v>
      </c>
      <c r="AP16" s="7" t="s">
        <v>6</v>
      </c>
      <c r="AT16" s="8">
        <v>12215766.84</v>
      </c>
      <c r="AU16" s="8">
        <v>9088956.0800000001</v>
      </c>
      <c r="AV16" s="8">
        <v>0</v>
      </c>
      <c r="AW16" s="8">
        <v>0</v>
      </c>
      <c r="AX16" s="8">
        <v>0</v>
      </c>
      <c r="AY16" s="8">
        <v>1674222.9</v>
      </c>
      <c r="AZ16" s="8">
        <v>525204.13</v>
      </c>
      <c r="BA16" s="8">
        <v>1452587.86</v>
      </c>
      <c r="BB16" s="8">
        <v>15411306.1</v>
      </c>
      <c r="BC16" s="8">
        <v>0</v>
      </c>
      <c r="BD16" s="8">
        <v>0</v>
      </c>
      <c r="BE16" s="8">
        <v>0</v>
      </c>
      <c r="BF16" s="8">
        <v>2806.4068965599995</v>
      </c>
      <c r="BG16" s="8">
        <v>0</v>
      </c>
      <c r="BH16" s="8">
        <v>0</v>
      </c>
      <c r="BI16" s="8">
        <v>1631315.29</v>
      </c>
      <c r="BJ16" s="8">
        <v>723897.35</v>
      </c>
      <c r="BK16" s="8">
        <v>15411306.1</v>
      </c>
      <c r="BR16" s="9">
        <v>903071.15</v>
      </c>
      <c r="BS16" s="9">
        <v>748219.78</v>
      </c>
      <c r="BT16" s="9">
        <v>0</v>
      </c>
      <c r="BU16" s="9">
        <v>0</v>
      </c>
      <c r="BV16" s="9">
        <v>0</v>
      </c>
      <c r="BW16" s="9">
        <v>123726.71</v>
      </c>
      <c r="BX16" s="9">
        <v>11253.57</v>
      </c>
      <c r="BY16" s="9">
        <v>31124.66</v>
      </c>
      <c r="BZ16" s="9">
        <v>1002039.07</v>
      </c>
      <c r="CA16" s="9">
        <v>0</v>
      </c>
      <c r="CB16" s="9">
        <v>0</v>
      </c>
      <c r="CC16" s="9">
        <v>0</v>
      </c>
      <c r="CD16" s="9">
        <v>2806.4068965599995</v>
      </c>
      <c r="CE16" s="9">
        <v>0</v>
      </c>
      <c r="CF16" s="9">
        <v>0</v>
      </c>
      <c r="CG16" s="9">
        <v>49345.01</v>
      </c>
      <c r="CH16" s="9">
        <v>29929.119999999999</v>
      </c>
      <c r="CI16" s="9">
        <v>1002039.07</v>
      </c>
    </row>
    <row r="18" spans="1:40">
      <c r="A18">
        <v>51</v>
      </c>
      <c r="E18" s="10">
        <f>SUMIF(A16:A17,3,E16:E17)</f>
        <v>15411.31</v>
      </c>
      <c r="F18" s="10">
        <f>SUMIF(A16:A17,3,F16:F17)</f>
        <v>0</v>
      </c>
      <c r="G18" s="10">
        <f>SUMIF(A16:A17,3,G16:G17)</f>
        <v>0</v>
      </c>
      <c r="H18" s="10">
        <f>SUMIF(A16:A17,3,H16:H17)</f>
        <v>0</v>
      </c>
      <c r="I18" s="10">
        <f>SUMIF(A16:A17,3,I16:I17)</f>
        <v>15411.31</v>
      </c>
      <c r="J18" s="10">
        <f>SUMIF(A16:A17,3,J16:J17)</f>
        <v>1977.79</v>
      </c>
      <c r="K18" s="10"/>
      <c r="L18" s="10"/>
      <c r="M18" s="10"/>
      <c r="N18" s="10"/>
      <c r="O18" s="10"/>
      <c r="P18" s="10"/>
      <c r="Q18" s="10"/>
      <c r="R18" s="10"/>
      <c r="S18" s="10"/>
      <c r="T18" s="3">
        <f>SUMIF(A16:A17,3,T16:T17)</f>
        <v>1002.04</v>
      </c>
      <c r="U18" s="3">
        <f>SUMIF(A16:A17,3,U16:U17)</f>
        <v>0</v>
      </c>
      <c r="V18" s="3">
        <f>SUMIF(A16:A17,3,V16:V17)</f>
        <v>0</v>
      </c>
      <c r="W18" s="3">
        <f>SUMIF(A16:A17,3,W16:W17)</f>
        <v>0</v>
      </c>
      <c r="X18" s="3">
        <f>SUMIF(A16:A17,3,X16:X17)</f>
        <v>1002.04</v>
      </c>
      <c r="Y18" s="3">
        <f>SUMIF(A16:A17,3,Y16:Y17)</f>
        <v>42.38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20" spans="1:40">
      <c r="A20" s="5">
        <v>50</v>
      </c>
      <c r="B20" s="5">
        <v>0</v>
      </c>
      <c r="C20" s="5">
        <v>0</v>
      </c>
      <c r="D20" s="5">
        <v>1</v>
      </c>
      <c r="E20" s="5">
        <v>201</v>
      </c>
      <c r="F20" s="5">
        <v>12215766.84</v>
      </c>
      <c r="G20" s="5" t="s">
        <v>66</v>
      </c>
      <c r="H20" s="5" t="s">
        <v>67</v>
      </c>
      <c r="I20" s="5"/>
      <c r="J20" s="5"/>
      <c r="K20" s="5">
        <v>201</v>
      </c>
      <c r="L20" s="5">
        <v>1</v>
      </c>
      <c r="M20" s="5">
        <v>3</v>
      </c>
      <c r="N20" s="5" t="s">
        <v>6</v>
      </c>
      <c r="O20" s="5">
        <v>2</v>
      </c>
      <c r="P20" s="5">
        <v>903071.15</v>
      </c>
    </row>
    <row r="21" spans="1:40">
      <c r="A21" s="5">
        <v>50</v>
      </c>
      <c r="B21" s="5">
        <v>0</v>
      </c>
      <c r="C21" s="5">
        <v>0</v>
      </c>
      <c r="D21" s="5">
        <v>1</v>
      </c>
      <c r="E21" s="5">
        <v>202</v>
      </c>
      <c r="F21" s="5">
        <v>9088956.0800000001</v>
      </c>
      <c r="G21" s="5" t="s">
        <v>68</v>
      </c>
      <c r="H21" s="5" t="s">
        <v>69</v>
      </c>
      <c r="I21" s="5"/>
      <c r="J21" s="5"/>
      <c r="K21" s="5">
        <v>202</v>
      </c>
      <c r="L21" s="5">
        <v>2</v>
      </c>
      <c r="M21" s="5">
        <v>3</v>
      </c>
      <c r="N21" s="5" t="s">
        <v>6</v>
      </c>
      <c r="O21" s="5">
        <v>2</v>
      </c>
      <c r="P21" s="5">
        <v>748219.78</v>
      </c>
    </row>
    <row r="22" spans="1:40">
      <c r="A22" s="5">
        <v>50</v>
      </c>
      <c r="B22" s="5">
        <v>0</v>
      </c>
      <c r="C22" s="5">
        <v>0</v>
      </c>
      <c r="D22" s="5">
        <v>1</v>
      </c>
      <c r="E22" s="5">
        <v>222</v>
      </c>
      <c r="F22" s="5">
        <v>0</v>
      </c>
      <c r="G22" s="5" t="s">
        <v>70</v>
      </c>
      <c r="H22" s="5" t="s">
        <v>71</v>
      </c>
      <c r="I22" s="5"/>
      <c r="J22" s="5"/>
      <c r="K22" s="5">
        <v>222</v>
      </c>
      <c r="L22" s="5">
        <v>3</v>
      </c>
      <c r="M22" s="5">
        <v>3</v>
      </c>
      <c r="N22" s="5" t="s">
        <v>6</v>
      </c>
      <c r="O22" s="5">
        <v>2</v>
      </c>
      <c r="P22" s="5">
        <v>0</v>
      </c>
    </row>
    <row r="23" spans="1:40">
      <c r="A23" s="5">
        <v>50</v>
      </c>
      <c r="B23" s="5">
        <v>0</v>
      </c>
      <c r="C23" s="5">
        <v>0</v>
      </c>
      <c r="D23" s="5">
        <v>1</v>
      </c>
      <c r="E23" s="5">
        <v>225</v>
      </c>
      <c r="F23" s="5">
        <v>9088956.0800000001</v>
      </c>
      <c r="G23" s="5" t="s">
        <v>72</v>
      </c>
      <c r="H23" s="5" t="s">
        <v>73</v>
      </c>
      <c r="I23" s="5"/>
      <c r="J23" s="5"/>
      <c r="K23" s="5">
        <v>225</v>
      </c>
      <c r="L23" s="5">
        <v>4</v>
      </c>
      <c r="M23" s="5">
        <v>3</v>
      </c>
      <c r="N23" s="5" t="s">
        <v>6</v>
      </c>
      <c r="O23" s="5">
        <v>2</v>
      </c>
      <c r="P23" s="5">
        <v>748219.78</v>
      </c>
    </row>
    <row r="24" spans="1:40">
      <c r="A24" s="5">
        <v>50</v>
      </c>
      <c r="B24" s="5">
        <v>0</v>
      </c>
      <c r="C24" s="5">
        <v>0</v>
      </c>
      <c r="D24" s="5">
        <v>1</v>
      </c>
      <c r="E24" s="5">
        <v>226</v>
      </c>
      <c r="F24" s="5">
        <v>9088956.0800000001</v>
      </c>
      <c r="G24" s="5" t="s">
        <v>74</v>
      </c>
      <c r="H24" s="5" t="s">
        <v>75</v>
      </c>
      <c r="I24" s="5"/>
      <c r="J24" s="5"/>
      <c r="K24" s="5">
        <v>226</v>
      </c>
      <c r="L24" s="5">
        <v>5</v>
      </c>
      <c r="M24" s="5">
        <v>3</v>
      </c>
      <c r="N24" s="5" t="s">
        <v>6</v>
      </c>
      <c r="O24" s="5">
        <v>2</v>
      </c>
      <c r="P24" s="5">
        <v>748219.78</v>
      </c>
    </row>
    <row r="25" spans="1:40">
      <c r="A25" s="5">
        <v>50</v>
      </c>
      <c r="B25" s="5">
        <v>0</v>
      </c>
      <c r="C25" s="5">
        <v>0</v>
      </c>
      <c r="D25" s="5">
        <v>1</v>
      </c>
      <c r="E25" s="5">
        <v>227</v>
      </c>
      <c r="F25" s="5">
        <v>0</v>
      </c>
      <c r="G25" s="5" t="s">
        <v>76</v>
      </c>
      <c r="H25" s="5" t="s">
        <v>77</v>
      </c>
      <c r="I25" s="5"/>
      <c r="J25" s="5"/>
      <c r="K25" s="5">
        <v>227</v>
      </c>
      <c r="L25" s="5">
        <v>6</v>
      </c>
      <c r="M25" s="5">
        <v>3</v>
      </c>
      <c r="N25" s="5" t="s">
        <v>6</v>
      </c>
      <c r="O25" s="5">
        <v>2</v>
      </c>
      <c r="P25" s="5">
        <v>0</v>
      </c>
    </row>
    <row r="26" spans="1:40">
      <c r="A26" s="5">
        <v>50</v>
      </c>
      <c r="B26" s="5">
        <v>0</v>
      </c>
      <c r="C26" s="5">
        <v>0</v>
      </c>
      <c r="D26" s="5">
        <v>1</v>
      </c>
      <c r="E26" s="5">
        <v>228</v>
      </c>
      <c r="F26" s="5">
        <v>9088956.0800000001</v>
      </c>
      <c r="G26" s="5" t="s">
        <v>78</v>
      </c>
      <c r="H26" s="5" t="s">
        <v>79</v>
      </c>
      <c r="I26" s="5"/>
      <c r="J26" s="5"/>
      <c r="K26" s="5">
        <v>228</v>
      </c>
      <c r="L26" s="5">
        <v>7</v>
      </c>
      <c r="M26" s="5">
        <v>3</v>
      </c>
      <c r="N26" s="5" t="s">
        <v>6</v>
      </c>
      <c r="O26" s="5">
        <v>2</v>
      </c>
      <c r="P26" s="5">
        <v>748219.78</v>
      </c>
    </row>
    <row r="27" spans="1:40">
      <c r="A27" s="5">
        <v>50</v>
      </c>
      <c r="B27" s="5">
        <v>0</v>
      </c>
      <c r="C27" s="5">
        <v>0</v>
      </c>
      <c r="D27" s="5">
        <v>1</v>
      </c>
      <c r="E27" s="5">
        <v>216</v>
      </c>
      <c r="F27" s="5">
        <v>0</v>
      </c>
      <c r="G27" s="5" t="s">
        <v>80</v>
      </c>
      <c r="H27" s="5" t="s">
        <v>81</v>
      </c>
      <c r="I27" s="5"/>
      <c r="J27" s="5"/>
      <c r="K27" s="5">
        <v>216</v>
      </c>
      <c r="L27" s="5">
        <v>8</v>
      </c>
      <c r="M27" s="5">
        <v>3</v>
      </c>
      <c r="N27" s="5" t="s">
        <v>6</v>
      </c>
      <c r="O27" s="5">
        <v>2</v>
      </c>
      <c r="P27" s="5">
        <v>0</v>
      </c>
    </row>
    <row r="28" spans="1:40">
      <c r="A28" s="5">
        <v>50</v>
      </c>
      <c r="B28" s="5">
        <v>0</v>
      </c>
      <c r="C28" s="5">
        <v>0</v>
      </c>
      <c r="D28" s="5">
        <v>1</v>
      </c>
      <c r="E28" s="5">
        <v>223</v>
      </c>
      <c r="F28" s="5">
        <v>0</v>
      </c>
      <c r="G28" s="5" t="s">
        <v>82</v>
      </c>
      <c r="H28" s="5" t="s">
        <v>83</v>
      </c>
      <c r="I28" s="5"/>
      <c r="J28" s="5"/>
      <c r="K28" s="5">
        <v>223</v>
      </c>
      <c r="L28" s="5">
        <v>9</v>
      </c>
      <c r="M28" s="5">
        <v>3</v>
      </c>
      <c r="N28" s="5" t="s">
        <v>6</v>
      </c>
      <c r="O28" s="5">
        <v>2</v>
      </c>
      <c r="P28" s="5">
        <v>0</v>
      </c>
    </row>
    <row r="29" spans="1:40">
      <c r="A29" s="5">
        <v>50</v>
      </c>
      <c r="B29" s="5">
        <v>0</v>
      </c>
      <c r="C29" s="5">
        <v>0</v>
      </c>
      <c r="D29" s="5">
        <v>1</v>
      </c>
      <c r="E29" s="5">
        <v>229</v>
      </c>
      <c r="F29" s="5">
        <v>0</v>
      </c>
      <c r="G29" s="5" t="s">
        <v>84</v>
      </c>
      <c r="H29" s="5" t="s">
        <v>85</v>
      </c>
      <c r="I29" s="5"/>
      <c r="J29" s="5"/>
      <c r="K29" s="5">
        <v>229</v>
      </c>
      <c r="L29" s="5">
        <v>10</v>
      </c>
      <c r="M29" s="5">
        <v>3</v>
      </c>
      <c r="N29" s="5" t="s">
        <v>6</v>
      </c>
      <c r="O29" s="5">
        <v>2</v>
      </c>
      <c r="P29" s="5">
        <v>0</v>
      </c>
    </row>
    <row r="30" spans="1:40">
      <c r="A30" s="5">
        <v>50</v>
      </c>
      <c r="B30" s="5">
        <v>0</v>
      </c>
      <c r="C30" s="5">
        <v>0</v>
      </c>
      <c r="D30" s="5">
        <v>1</v>
      </c>
      <c r="E30" s="5">
        <v>203</v>
      </c>
      <c r="F30" s="5">
        <v>1674222.9</v>
      </c>
      <c r="G30" s="5" t="s">
        <v>86</v>
      </c>
      <c r="H30" s="5" t="s">
        <v>87</v>
      </c>
      <c r="I30" s="5"/>
      <c r="J30" s="5"/>
      <c r="K30" s="5">
        <v>203</v>
      </c>
      <c r="L30" s="5">
        <v>11</v>
      </c>
      <c r="M30" s="5">
        <v>3</v>
      </c>
      <c r="N30" s="5" t="s">
        <v>6</v>
      </c>
      <c r="O30" s="5">
        <v>2</v>
      </c>
      <c r="P30" s="5">
        <v>123726.71</v>
      </c>
    </row>
    <row r="31" spans="1:40">
      <c r="A31" s="5">
        <v>50</v>
      </c>
      <c r="B31" s="5">
        <v>0</v>
      </c>
      <c r="C31" s="5">
        <v>0</v>
      </c>
      <c r="D31" s="5">
        <v>1</v>
      </c>
      <c r="E31" s="5">
        <v>231</v>
      </c>
      <c r="F31" s="5">
        <v>0</v>
      </c>
      <c r="G31" s="5" t="s">
        <v>88</v>
      </c>
      <c r="H31" s="5" t="s">
        <v>89</v>
      </c>
      <c r="I31" s="5"/>
      <c r="J31" s="5"/>
      <c r="K31" s="5">
        <v>231</v>
      </c>
      <c r="L31" s="5">
        <v>12</v>
      </c>
      <c r="M31" s="5">
        <v>3</v>
      </c>
      <c r="N31" s="5" t="s">
        <v>6</v>
      </c>
      <c r="O31" s="5">
        <v>2</v>
      </c>
      <c r="P31" s="5">
        <v>0</v>
      </c>
    </row>
    <row r="32" spans="1:40">
      <c r="A32" s="5">
        <v>50</v>
      </c>
      <c r="B32" s="5">
        <v>0</v>
      </c>
      <c r="C32" s="5">
        <v>0</v>
      </c>
      <c r="D32" s="5">
        <v>1</v>
      </c>
      <c r="E32" s="5">
        <v>204</v>
      </c>
      <c r="F32" s="5">
        <v>525204.13</v>
      </c>
      <c r="G32" s="5" t="s">
        <v>90</v>
      </c>
      <c r="H32" s="5" t="s">
        <v>91</v>
      </c>
      <c r="I32" s="5"/>
      <c r="J32" s="5"/>
      <c r="K32" s="5">
        <v>204</v>
      </c>
      <c r="L32" s="5">
        <v>13</v>
      </c>
      <c r="M32" s="5">
        <v>3</v>
      </c>
      <c r="N32" s="5" t="s">
        <v>6</v>
      </c>
      <c r="O32" s="5">
        <v>2</v>
      </c>
      <c r="P32" s="5">
        <v>11253.57</v>
      </c>
    </row>
    <row r="33" spans="1:16">
      <c r="A33" s="5">
        <v>50</v>
      </c>
      <c r="B33" s="5">
        <v>0</v>
      </c>
      <c r="C33" s="5">
        <v>0</v>
      </c>
      <c r="D33" s="5">
        <v>1</v>
      </c>
      <c r="E33" s="5">
        <v>205</v>
      </c>
      <c r="F33" s="5">
        <v>1452587.86</v>
      </c>
      <c r="G33" s="5" t="s">
        <v>92</v>
      </c>
      <c r="H33" s="5" t="s">
        <v>93</v>
      </c>
      <c r="I33" s="5"/>
      <c r="J33" s="5"/>
      <c r="K33" s="5">
        <v>205</v>
      </c>
      <c r="L33" s="5">
        <v>14</v>
      </c>
      <c r="M33" s="5">
        <v>3</v>
      </c>
      <c r="N33" s="5" t="s">
        <v>6</v>
      </c>
      <c r="O33" s="5">
        <v>2</v>
      </c>
      <c r="P33" s="5">
        <v>31124.66</v>
      </c>
    </row>
    <row r="34" spans="1:16">
      <c r="A34" s="5">
        <v>50</v>
      </c>
      <c r="B34" s="5">
        <v>0</v>
      </c>
      <c r="C34" s="5">
        <v>0</v>
      </c>
      <c r="D34" s="5">
        <v>1</v>
      </c>
      <c r="E34" s="5">
        <v>232</v>
      </c>
      <c r="F34" s="5">
        <v>0</v>
      </c>
      <c r="G34" s="5" t="s">
        <v>94</v>
      </c>
      <c r="H34" s="5" t="s">
        <v>95</v>
      </c>
      <c r="I34" s="5"/>
      <c r="J34" s="5"/>
      <c r="K34" s="5">
        <v>232</v>
      </c>
      <c r="L34" s="5">
        <v>15</v>
      </c>
      <c r="M34" s="5">
        <v>3</v>
      </c>
      <c r="N34" s="5" t="s">
        <v>6</v>
      </c>
      <c r="O34" s="5">
        <v>2</v>
      </c>
      <c r="P34" s="5">
        <v>0</v>
      </c>
    </row>
    <row r="35" spans="1:16">
      <c r="A35" s="5">
        <v>50</v>
      </c>
      <c r="B35" s="5">
        <v>0</v>
      </c>
      <c r="C35" s="5">
        <v>0</v>
      </c>
      <c r="D35" s="5">
        <v>1</v>
      </c>
      <c r="E35" s="5">
        <v>214</v>
      </c>
      <c r="F35" s="5">
        <v>15411306.1</v>
      </c>
      <c r="G35" s="5" t="s">
        <v>96</v>
      </c>
      <c r="H35" s="5" t="s">
        <v>97</v>
      </c>
      <c r="I35" s="5"/>
      <c r="J35" s="5"/>
      <c r="K35" s="5">
        <v>214</v>
      </c>
      <c r="L35" s="5">
        <v>16</v>
      </c>
      <c r="M35" s="5">
        <v>3</v>
      </c>
      <c r="N35" s="5" t="s">
        <v>6</v>
      </c>
      <c r="O35" s="5">
        <v>2</v>
      </c>
      <c r="P35" s="5">
        <v>1002039.07</v>
      </c>
    </row>
    <row r="36" spans="1:16">
      <c r="A36" s="5">
        <v>50</v>
      </c>
      <c r="B36" s="5">
        <v>0</v>
      </c>
      <c r="C36" s="5">
        <v>0</v>
      </c>
      <c r="D36" s="5">
        <v>1</v>
      </c>
      <c r="E36" s="5">
        <v>215</v>
      </c>
      <c r="F36" s="5">
        <v>0</v>
      </c>
      <c r="G36" s="5" t="s">
        <v>98</v>
      </c>
      <c r="H36" s="5" t="s">
        <v>99</v>
      </c>
      <c r="I36" s="5"/>
      <c r="J36" s="5"/>
      <c r="K36" s="5">
        <v>215</v>
      </c>
      <c r="L36" s="5">
        <v>17</v>
      </c>
      <c r="M36" s="5">
        <v>3</v>
      </c>
      <c r="N36" s="5" t="s">
        <v>6</v>
      </c>
      <c r="O36" s="5">
        <v>2</v>
      </c>
      <c r="P36" s="5">
        <v>0</v>
      </c>
    </row>
    <row r="37" spans="1:16">
      <c r="A37" s="5">
        <v>50</v>
      </c>
      <c r="B37" s="5">
        <v>0</v>
      </c>
      <c r="C37" s="5">
        <v>0</v>
      </c>
      <c r="D37" s="5">
        <v>1</v>
      </c>
      <c r="E37" s="5">
        <v>217</v>
      </c>
      <c r="F37" s="5">
        <v>0</v>
      </c>
      <c r="G37" s="5" t="s">
        <v>100</v>
      </c>
      <c r="H37" s="5" t="s">
        <v>101</v>
      </c>
      <c r="I37" s="5"/>
      <c r="J37" s="5"/>
      <c r="K37" s="5">
        <v>217</v>
      </c>
      <c r="L37" s="5">
        <v>18</v>
      </c>
      <c r="M37" s="5">
        <v>3</v>
      </c>
      <c r="N37" s="5" t="s">
        <v>6</v>
      </c>
      <c r="O37" s="5">
        <v>2</v>
      </c>
      <c r="P37" s="5">
        <v>0</v>
      </c>
    </row>
    <row r="38" spans="1:16">
      <c r="A38" s="5">
        <v>50</v>
      </c>
      <c r="B38" s="5">
        <v>0</v>
      </c>
      <c r="C38" s="5">
        <v>0</v>
      </c>
      <c r="D38" s="5">
        <v>1</v>
      </c>
      <c r="E38" s="5">
        <v>230</v>
      </c>
      <c r="F38" s="5">
        <v>0</v>
      </c>
      <c r="G38" s="5" t="s">
        <v>102</v>
      </c>
      <c r="H38" s="5" t="s">
        <v>103</v>
      </c>
      <c r="I38" s="5"/>
      <c r="J38" s="5"/>
      <c r="K38" s="5">
        <v>230</v>
      </c>
      <c r="L38" s="5">
        <v>19</v>
      </c>
      <c r="M38" s="5">
        <v>3</v>
      </c>
      <c r="N38" s="5" t="s">
        <v>6</v>
      </c>
      <c r="O38" s="5">
        <v>2</v>
      </c>
      <c r="P38" s="5">
        <v>0</v>
      </c>
    </row>
    <row r="39" spans="1:16">
      <c r="A39" s="5">
        <v>50</v>
      </c>
      <c r="B39" s="5">
        <v>0</v>
      </c>
      <c r="C39" s="5">
        <v>0</v>
      </c>
      <c r="D39" s="5">
        <v>1</v>
      </c>
      <c r="E39" s="5">
        <v>206</v>
      </c>
      <c r="F39" s="5">
        <v>0</v>
      </c>
      <c r="G39" s="5" t="s">
        <v>104</v>
      </c>
      <c r="H39" s="5" t="s">
        <v>105</v>
      </c>
      <c r="I39" s="5"/>
      <c r="J39" s="5"/>
      <c r="K39" s="5">
        <v>206</v>
      </c>
      <c r="L39" s="5">
        <v>20</v>
      </c>
      <c r="M39" s="5">
        <v>3</v>
      </c>
      <c r="N39" s="5" t="s">
        <v>6</v>
      </c>
      <c r="O39" s="5">
        <v>2</v>
      </c>
      <c r="P39" s="5">
        <v>0</v>
      </c>
    </row>
    <row r="40" spans="1:16">
      <c r="A40" s="5">
        <v>50</v>
      </c>
      <c r="B40" s="5">
        <v>0</v>
      </c>
      <c r="C40" s="5">
        <v>0</v>
      </c>
      <c r="D40" s="5">
        <v>1</v>
      </c>
      <c r="E40" s="5">
        <v>207</v>
      </c>
      <c r="F40" s="5">
        <v>2806.4068965599995</v>
      </c>
      <c r="G40" s="5" t="s">
        <v>106</v>
      </c>
      <c r="H40" s="5" t="s">
        <v>107</v>
      </c>
      <c r="I40" s="5"/>
      <c r="J40" s="5"/>
      <c r="K40" s="5">
        <v>207</v>
      </c>
      <c r="L40" s="5">
        <v>21</v>
      </c>
      <c r="M40" s="5">
        <v>3</v>
      </c>
      <c r="N40" s="5" t="s">
        <v>6</v>
      </c>
      <c r="O40" s="5">
        <v>-1</v>
      </c>
      <c r="P40" s="5">
        <v>2806.4068965599995</v>
      </c>
    </row>
    <row r="41" spans="1:16">
      <c r="A41" s="5">
        <v>50</v>
      </c>
      <c r="B41" s="5">
        <v>0</v>
      </c>
      <c r="C41" s="5">
        <v>0</v>
      </c>
      <c r="D41" s="5">
        <v>1</v>
      </c>
      <c r="E41" s="5">
        <v>208</v>
      </c>
      <c r="F41" s="5">
        <v>0</v>
      </c>
      <c r="G41" s="5" t="s">
        <v>108</v>
      </c>
      <c r="H41" s="5" t="s">
        <v>109</v>
      </c>
      <c r="I41" s="5"/>
      <c r="J41" s="5"/>
      <c r="K41" s="5">
        <v>208</v>
      </c>
      <c r="L41" s="5">
        <v>22</v>
      </c>
      <c r="M41" s="5">
        <v>3</v>
      </c>
      <c r="N41" s="5" t="s">
        <v>6</v>
      </c>
      <c r="O41" s="5">
        <v>-1</v>
      </c>
      <c r="P41" s="5">
        <v>0</v>
      </c>
    </row>
    <row r="42" spans="1:16">
      <c r="A42" s="5">
        <v>50</v>
      </c>
      <c r="B42" s="5">
        <v>0</v>
      </c>
      <c r="C42" s="5">
        <v>0</v>
      </c>
      <c r="D42" s="5">
        <v>1</v>
      </c>
      <c r="E42" s="5">
        <v>209</v>
      </c>
      <c r="F42" s="5">
        <v>0</v>
      </c>
      <c r="G42" s="5" t="s">
        <v>110</v>
      </c>
      <c r="H42" s="5" t="s">
        <v>111</v>
      </c>
      <c r="I42" s="5"/>
      <c r="J42" s="5"/>
      <c r="K42" s="5">
        <v>209</v>
      </c>
      <c r="L42" s="5">
        <v>23</v>
      </c>
      <c r="M42" s="5">
        <v>3</v>
      </c>
      <c r="N42" s="5" t="s">
        <v>6</v>
      </c>
      <c r="O42" s="5">
        <v>2</v>
      </c>
      <c r="P42" s="5">
        <v>0</v>
      </c>
    </row>
    <row r="43" spans="1:16">
      <c r="A43" s="5">
        <v>50</v>
      </c>
      <c r="B43" s="5">
        <v>0</v>
      </c>
      <c r="C43" s="5">
        <v>0</v>
      </c>
      <c r="D43" s="5">
        <v>1</v>
      </c>
      <c r="E43" s="5">
        <v>233</v>
      </c>
      <c r="F43" s="5">
        <v>0</v>
      </c>
      <c r="G43" s="5" t="s">
        <v>112</v>
      </c>
      <c r="H43" s="5" t="s">
        <v>113</v>
      </c>
      <c r="I43" s="5"/>
      <c r="J43" s="5"/>
      <c r="K43" s="5">
        <v>233</v>
      </c>
      <c r="L43" s="5">
        <v>24</v>
      </c>
      <c r="M43" s="5">
        <v>3</v>
      </c>
      <c r="N43" s="5" t="s">
        <v>6</v>
      </c>
      <c r="O43" s="5">
        <v>2</v>
      </c>
      <c r="P43" s="5">
        <v>0</v>
      </c>
    </row>
    <row r="44" spans="1:16">
      <c r="A44" s="5">
        <v>50</v>
      </c>
      <c r="B44" s="5">
        <v>0</v>
      </c>
      <c r="C44" s="5">
        <v>0</v>
      </c>
      <c r="D44" s="5">
        <v>1</v>
      </c>
      <c r="E44" s="5">
        <v>210</v>
      </c>
      <c r="F44" s="5">
        <v>1631315.29</v>
      </c>
      <c r="G44" s="5" t="s">
        <v>114</v>
      </c>
      <c r="H44" s="5" t="s">
        <v>115</v>
      </c>
      <c r="I44" s="5"/>
      <c r="J44" s="5"/>
      <c r="K44" s="5">
        <v>210</v>
      </c>
      <c r="L44" s="5">
        <v>25</v>
      </c>
      <c r="M44" s="5">
        <v>3</v>
      </c>
      <c r="N44" s="5" t="s">
        <v>6</v>
      </c>
      <c r="O44" s="5">
        <v>2</v>
      </c>
      <c r="P44" s="5">
        <v>49345.01</v>
      </c>
    </row>
    <row r="45" spans="1:16">
      <c r="A45" s="5">
        <v>50</v>
      </c>
      <c r="B45" s="5">
        <v>0</v>
      </c>
      <c r="C45" s="5">
        <v>0</v>
      </c>
      <c r="D45" s="5">
        <v>1</v>
      </c>
      <c r="E45" s="5">
        <v>211</v>
      </c>
      <c r="F45" s="5">
        <v>723897.35</v>
      </c>
      <c r="G45" s="5" t="s">
        <v>116</v>
      </c>
      <c r="H45" s="5" t="s">
        <v>117</v>
      </c>
      <c r="I45" s="5"/>
      <c r="J45" s="5"/>
      <c r="K45" s="5">
        <v>211</v>
      </c>
      <c r="L45" s="5">
        <v>26</v>
      </c>
      <c r="M45" s="5">
        <v>3</v>
      </c>
      <c r="N45" s="5" t="s">
        <v>6</v>
      </c>
      <c r="O45" s="5">
        <v>2</v>
      </c>
      <c r="P45" s="5">
        <v>29929.119999999999</v>
      </c>
    </row>
    <row r="46" spans="1:16">
      <c r="A46" s="5">
        <v>50</v>
      </c>
      <c r="B46" s="5">
        <v>0</v>
      </c>
      <c r="C46" s="5">
        <v>0</v>
      </c>
      <c r="D46" s="5">
        <v>1</v>
      </c>
      <c r="E46" s="5">
        <v>224</v>
      </c>
      <c r="F46" s="5">
        <v>15411306.1</v>
      </c>
      <c r="G46" s="5" t="s">
        <v>118</v>
      </c>
      <c r="H46" s="5" t="s">
        <v>119</v>
      </c>
      <c r="I46" s="5"/>
      <c r="J46" s="5"/>
      <c r="K46" s="5">
        <v>224</v>
      </c>
      <c r="L46" s="5">
        <v>27</v>
      </c>
      <c r="M46" s="5">
        <v>3</v>
      </c>
      <c r="N46" s="5" t="s">
        <v>6</v>
      </c>
      <c r="O46" s="5">
        <v>2</v>
      </c>
      <c r="P46" s="5">
        <v>1002039.07</v>
      </c>
    </row>
    <row r="47" spans="1:16">
      <c r="A47" s="5">
        <v>50</v>
      </c>
      <c r="B47" s="5">
        <v>1</v>
      </c>
      <c r="C47" s="5">
        <v>0</v>
      </c>
      <c r="D47" s="5">
        <v>2</v>
      </c>
      <c r="E47" s="5">
        <v>0</v>
      </c>
      <c r="F47" s="5">
        <v>15411306.1</v>
      </c>
      <c r="G47" s="5" t="s">
        <v>282</v>
      </c>
      <c r="H47" s="5" t="s">
        <v>29</v>
      </c>
      <c r="I47" s="5"/>
      <c r="J47" s="5"/>
      <c r="K47" s="5">
        <v>212</v>
      </c>
      <c r="L47" s="5">
        <v>28</v>
      </c>
      <c r="M47" s="5">
        <v>0</v>
      </c>
      <c r="N47" s="5" t="s">
        <v>6</v>
      </c>
      <c r="O47" s="5">
        <v>-1</v>
      </c>
      <c r="P47" s="5">
        <v>1002039.07</v>
      </c>
    </row>
    <row r="48" spans="1:16">
      <c r="A48" s="5">
        <v>50</v>
      </c>
      <c r="B48" s="5">
        <v>1</v>
      </c>
      <c r="C48" s="5">
        <v>0</v>
      </c>
      <c r="D48" s="5">
        <v>2</v>
      </c>
      <c r="E48" s="5">
        <v>0</v>
      </c>
      <c r="F48" s="5">
        <v>0</v>
      </c>
      <c r="G48" s="5" t="s">
        <v>283</v>
      </c>
      <c r="H48" s="5" t="s">
        <v>284</v>
      </c>
      <c r="I48" s="5"/>
      <c r="J48" s="5"/>
      <c r="K48" s="5">
        <v>212</v>
      </c>
      <c r="L48" s="5">
        <v>29</v>
      </c>
      <c r="M48" s="5">
        <v>0</v>
      </c>
      <c r="N48" s="5" t="s">
        <v>6</v>
      </c>
      <c r="O48" s="5">
        <v>2</v>
      </c>
      <c r="P48" s="5">
        <v>0</v>
      </c>
    </row>
    <row r="49" spans="1:50">
      <c r="A49" s="5">
        <v>50</v>
      </c>
      <c r="B49" s="5">
        <v>1</v>
      </c>
      <c r="C49" s="5">
        <v>0</v>
      </c>
      <c r="D49" s="5">
        <v>2</v>
      </c>
      <c r="E49" s="5">
        <v>0</v>
      </c>
      <c r="F49" s="5">
        <v>0</v>
      </c>
      <c r="G49" s="5" t="s">
        <v>285</v>
      </c>
      <c r="H49" s="5" t="s">
        <v>122</v>
      </c>
      <c r="I49" s="5"/>
      <c r="J49" s="5"/>
      <c r="K49" s="5">
        <v>212</v>
      </c>
      <c r="L49" s="5">
        <v>30</v>
      </c>
      <c r="M49" s="5">
        <v>0</v>
      </c>
      <c r="N49" s="5" t="s">
        <v>6</v>
      </c>
      <c r="O49" s="5">
        <v>2</v>
      </c>
      <c r="P49" s="5">
        <v>0</v>
      </c>
    </row>
    <row r="51" spans="1:50">
      <c r="A51">
        <v>-1</v>
      </c>
    </row>
    <row r="54" spans="1:50">
      <c r="A54" s="4">
        <v>75</v>
      </c>
      <c r="B54" s="4" t="s">
        <v>290</v>
      </c>
      <c r="C54" s="4">
        <v>2025</v>
      </c>
      <c r="D54" s="4">
        <v>0</v>
      </c>
      <c r="E54" s="4">
        <v>1</v>
      </c>
      <c r="F54" s="4"/>
      <c r="G54" s="4">
        <v>0</v>
      </c>
      <c r="H54" s="4">
        <v>2</v>
      </c>
      <c r="I54" s="4">
        <v>1</v>
      </c>
      <c r="J54" s="4">
        <v>1</v>
      </c>
      <c r="K54" s="4">
        <v>95</v>
      </c>
      <c r="L54" s="4">
        <v>65</v>
      </c>
      <c r="M54" s="4">
        <v>1</v>
      </c>
      <c r="N54" s="4">
        <v>70322059</v>
      </c>
      <c r="O54" s="4">
        <v>1</v>
      </c>
    </row>
    <row r="55" spans="1:50">
      <c r="A55" s="6">
        <v>1</v>
      </c>
      <c r="B55" s="6" t="s">
        <v>291</v>
      </c>
      <c r="C55" s="6" t="s">
        <v>292</v>
      </c>
      <c r="D55" s="6">
        <v>2025</v>
      </c>
      <c r="E55" s="6">
        <v>1</v>
      </c>
      <c r="F55" s="6">
        <v>1</v>
      </c>
      <c r="G55" s="6">
        <v>1</v>
      </c>
      <c r="H55" s="6">
        <v>0</v>
      </c>
      <c r="I55" s="6">
        <v>2</v>
      </c>
      <c r="J55" s="6">
        <v>1</v>
      </c>
      <c r="K55" s="6">
        <v>1</v>
      </c>
      <c r="L55" s="6">
        <v>1</v>
      </c>
      <c r="M55" s="6">
        <v>1</v>
      </c>
      <c r="N55" s="6">
        <v>1</v>
      </c>
      <c r="O55" s="6">
        <v>1</v>
      </c>
      <c r="P55" s="6">
        <v>1</v>
      </c>
      <c r="Q55" s="6">
        <v>1</v>
      </c>
      <c r="R55" s="6" t="s">
        <v>6</v>
      </c>
      <c r="S55" s="6" t="s">
        <v>6</v>
      </c>
      <c r="T55" s="6" t="s">
        <v>6</v>
      </c>
      <c r="U55" s="6" t="s">
        <v>6</v>
      </c>
      <c r="V55" s="6" t="s">
        <v>6</v>
      </c>
      <c r="W55" s="6" t="s">
        <v>6</v>
      </c>
      <c r="X55" s="6" t="s">
        <v>6</v>
      </c>
      <c r="Y55" s="6" t="s">
        <v>6</v>
      </c>
      <c r="Z55" s="6" t="s">
        <v>6</v>
      </c>
      <c r="AA55" s="6" t="s">
        <v>293</v>
      </c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>
        <v>70322060</v>
      </c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1:50">
      <c r="A56" s="6">
        <v>1</v>
      </c>
      <c r="B56" s="6" t="s">
        <v>291</v>
      </c>
      <c r="C56" s="6" t="s">
        <v>294</v>
      </c>
      <c r="D56" s="6">
        <v>2025</v>
      </c>
      <c r="E56" s="6">
        <v>1</v>
      </c>
      <c r="F56" s="6">
        <v>1</v>
      </c>
      <c r="G56" s="6">
        <v>1</v>
      </c>
      <c r="H56" s="6">
        <v>0</v>
      </c>
      <c r="I56" s="6">
        <v>2</v>
      </c>
      <c r="J56" s="6">
        <v>1</v>
      </c>
      <c r="K56" s="6">
        <v>1</v>
      </c>
      <c r="L56" s="6">
        <v>1</v>
      </c>
      <c r="M56" s="6">
        <v>1</v>
      </c>
      <c r="N56" s="6">
        <v>1</v>
      </c>
      <c r="O56" s="6">
        <v>1</v>
      </c>
      <c r="P56" s="6">
        <v>1</v>
      </c>
      <c r="Q56" s="6">
        <v>1</v>
      </c>
      <c r="R56" s="6" t="s">
        <v>6</v>
      </c>
      <c r="S56" s="6" t="s">
        <v>6</v>
      </c>
      <c r="T56" s="6" t="s">
        <v>6</v>
      </c>
      <c r="U56" s="6" t="s">
        <v>6</v>
      </c>
      <c r="V56" s="6" t="s">
        <v>6</v>
      </c>
      <c r="W56" s="6" t="s">
        <v>6</v>
      </c>
      <c r="X56" s="6" t="s">
        <v>6</v>
      </c>
      <c r="Y56" s="6" t="s">
        <v>6</v>
      </c>
      <c r="Z56" s="6" t="s">
        <v>6</v>
      </c>
      <c r="AA56" s="6" t="s">
        <v>295</v>
      </c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>
        <v>70322061</v>
      </c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1:50">
      <c r="A57" s="4">
        <v>75</v>
      </c>
      <c r="B57" s="4" t="s">
        <v>296</v>
      </c>
      <c r="C57" s="4">
        <v>2000</v>
      </c>
      <c r="D57" s="4">
        <v>0</v>
      </c>
      <c r="E57" s="4">
        <v>1</v>
      </c>
      <c r="F57" s="4">
        <v>0</v>
      </c>
      <c r="G57" s="4">
        <v>0</v>
      </c>
      <c r="H57" s="4">
        <v>1</v>
      </c>
      <c r="I57" s="4">
        <v>0</v>
      </c>
      <c r="J57" s="4">
        <v>1</v>
      </c>
      <c r="K57" s="4">
        <v>98</v>
      </c>
      <c r="L57" s="4">
        <v>77</v>
      </c>
      <c r="M57" s="4">
        <v>0</v>
      </c>
      <c r="N57" s="4">
        <v>70322058</v>
      </c>
      <c r="O57" s="4">
        <v>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Y12"/>
  <sheetViews>
    <sheetView workbookViewId="0"/>
  </sheetViews>
  <sheetFormatPr defaultColWidth="9.140625" defaultRowHeight="12.75"/>
  <cols>
    <col min="1" max="256" width="9.140625" customWidth="1"/>
  </cols>
  <sheetData>
    <row r="1" spans="1:10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03">
      <c r="F12" t="str">
        <f>Source!F12</f>
        <v>(ТСН-2001 (Мосгосэкспертиза))</v>
      </c>
      <c r="G12" t="str">
        <f>Source!G12</f>
        <v>02-01-04. Благоустройство _24.05.25.</v>
      </c>
      <c r="AB12" t="s">
        <v>6</v>
      </c>
      <c r="AC12" t="s">
        <v>6</v>
      </c>
      <c r="AD12" t="s">
        <v>6</v>
      </c>
      <c r="AE12" t="s">
        <v>6</v>
      </c>
      <c r="AH12" t="s">
        <v>6</v>
      </c>
      <c r="AI12" t="s">
        <v>6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ТСН-2001(с доп.67</vt:lpstr>
      <vt:lpstr>Source</vt:lpstr>
      <vt:lpstr>SourceObSm</vt:lpstr>
      <vt:lpstr>SmtRes</vt:lpstr>
      <vt:lpstr>EtalonRes</vt:lpstr>
      <vt:lpstr>SrcPoprs</vt:lpstr>
      <vt:lpstr>SrcKA</vt:lpstr>
      <vt:lpstr>'Смета по ТСН-2001(с доп.67'!Заголовки_для_печати</vt:lpstr>
      <vt:lpstr>'Смета по ТСН-2001(с доп.67'!Область_печати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ArshuninaEV</cp:lastModifiedBy>
  <dcterms:created xsi:type="dcterms:W3CDTF">2025-04-25T08:17:21Z</dcterms:created>
  <dcterms:modified xsi:type="dcterms:W3CDTF">2025-04-25T10:39:34Z</dcterms:modified>
</cp:coreProperties>
</file>