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Объекты\МОСКВА-СИТИ\Москва-Сити уч. 11 Коллектор\1. Сметы\"/>
    </mc:Choice>
  </mc:AlternateContent>
  <xr:revisionPtr revIDLastSave="0" documentId="13_ncr:1_{A5098CF7-E50E-4987-A4AD-ED1AD7702841}" xr6:coauthVersionLast="47" xr6:coauthVersionMax="47" xr10:uidLastSave="{00000000-0000-0000-0000-000000000000}"/>
  <bookViews>
    <workbookView xWindow="-120" yWindow="-120" windowWidth="29040" windowHeight="15840" xr2:uid="{9D6245AC-EBD6-40A9-9054-9758C563B4EE}"/>
  </bookViews>
  <sheets>
    <sheet name="Смета по ТСН-2001(с доп.43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ТСН-2001(с доп.43'!$25:$25</definedName>
    <definedName name="_xlnm.Print_Area" localSheetId="0">'Смета по ТСН-2001(с доп.43'!$A$1:$K$280</definedName>
  </definedNames>
  <calcPr calcId="191029" iterate="1"/>
</workbook>
</file>

<file path=xl/calcChain.xml><?xml version="1.0" encoding="utf-8"?>
<calcChain xmlns="http://schemas.openxmlformats.org/spreadsheetml/2006/main">
  <c r="A8" i="6" l="1"/>
  <c r="H278" i="6"/>
  <c r="H275" i="6"/>
  <c r="C278" i="6"/>
  <c r="C275" i="6"/>
  <c r="J20" i="6"/>
  <c r="J17" i="6"/>
  <c r="J16" i="6"/>
  <c r="J15" i="6"/>
  <c r="J14" i="6"/>
  <c r="J13" i="6"/>
  <c r="I20" i="6"/>
  <c r="H272" i="6"/>
  <c r="J272" i="6"/>
  <c r="AQ270" i="6"/>
  <c r="A270" i="6"/>
  <c r="H268" i="6"/>
  <c r="J268" i="6"/>
  <c r="AQ266" i="6"/>
  <c r="A266" i="6"/>
  <c r="H264" i="6"/>
  <c r="J264" i="6"/>
  <c r="A262" i="6"/>
  <c r="H260" i="6"/>
  <c r="J260" i="6"/>
  <c r="A258" i="6"/>
  <c r="AA255" i="6"/>
  <c r="Z255" i="6"/>
  <c r="Y255" i="6"/>
  <c r="P255" i="6"/>
  <c r="J255" i="6"/>
  <c r="C254" i="6"/>
  <c r="K253" i="6"/>
  <c r="J253" i="6"/>
  <c r="I253" i="6"/>
  <c r="X255" i="6" s="1"/>
  <c r="H253" i="6"/>
  <c r="G253" i="6"/>
  <c r="F253" i="6"/>
  <c r="V253" i="6"/>
  <c r="T253" i="6"/>
  <c r="R253" i="6"/>
  <c r="U253" i="6"/>
  <c r="S253" i="6"/>
  <c r="Q253" i="6"/>
  <c r="E253" i="6"/>
  <c r="D253" i="6"/>
  <c r="B253" i="6"/>
  <c r="AA251" i="6"/>
  <c r="Z251" i="6"/>
  <c r="Y251" i="6"/>
  <c r="AB250" i="6"/>
  <c r="I250" i="6"/>
  <c r="H250" i="6"/>
  <c r="G250" i="6"/>
  <c r="E250" i="6"/>
  <c r="J249" i="6"/>
  <c r="E249" i="6"/>
  <c r="J248" i="6"/>
  <c r="E248" i="6"/>
  <c r="K247" i="6"/>
  <c r="J247" i="6"/>
  <c r="I247" i="6"/>
  <c r="H247" i="6"/>
  <c r="G247" i="6"/>
  <c r="F247" i="6"/>
  <c r="C246" i="6"/>
  <c r="V245" i="6"/>
  <c r="T245" i="6"/>
  <c r="K249" i="6" s="1"/>
  <c r="R245" i="6"/>
  <c r="K248" i="6" s="1"/>
  <c r="U245" i="6"/>
  <c r="S245" i="6"/>
  <c r="I249" i="6" s="1"/>
  <c r="Q245" i="6"/>
  <c r="I248" i="6" s="1"/>
  <c r="E245" i="6"/>
  <c r="D245" i="6"/>
  <c r="B245" i="6"/>
  <c r="AA243" i="6"/>
  <c r="Z243" i="6"/>
  <c r="X243" i="6"/>
  <c r="K242" i="6"/>
  <c r="P243" i="6" s="1"/>
  <c r="J242" i="6"/>
  <c r="I242" i="6"/>
  <c r="H243" i="6" s="1"/>
  <c r="H242" i="6"/>
  <c r="G242" i="6"/>
  <c r="F242" i="6"/>
  <c r="V242" i="6"/>
  <c r="T242" i="6"/>
  <c r="R242" i="6"/>
  <c r="U242" i="6"/>
  <c r="S242" i="6"/>
  <c r="Q242" i="6"/>
  <c r="E242" i="6"/>
  <c r="D242" i="6"/>
  <c r="B242" i="6"/>
  <c r="AA240" i="6"/>
  <c r="Z240" i="6"/>
  <c r="X240" i="6"/>
  <c r="H240" i="6"/>
  <c r="K239" i="6"/>
  <c r="P240" i="6" s="1"/>
  <c r="J239" i="6"/>
  <c r="I239" i="6"/>
  <c r="Y240" i="6" s="1"/>
  <c r="H239" i="6"/>
  <c r="G239" i="6"/>
  <c r="F239" i="6"/>
  <c r="V239" i="6"/>
  <c r="T239" i="6"/>
  <c r="R239" i="6"/>
  <c r="U239" i="6"/>
  <c r="S239" i="6"/>
  <c r="Q239" i="6"/>
  <c r="E239" i="6"/>
  <c r="D239" i="6"/>
  <c r="B239" i="6"/>
  <c r="AA237" i="6"/>
  <c r="Z237" i="6"/>
  <c r="X237" i="6"/>
  <c r="AB236" i="6"/>
  <c r="I236" i="6"/>
  <c r="H236" i="6"/>
  <c r="G236" i="6"/>
  <c r="E236" i="6"/>
  <c r="J235" i="6"/>
  <c r="E235" i="6"/>
  <c r="J234" i="6"/>
  <c r="E234" i="6"/>
  <c r="J233" i="6"/>
  <c r="E233" i="6"/>
  <c r="K232" i="6"/>
  <c r="J232" i="6"/>
  <c r="I232" i="6"/>
  <c r="H232" i="6"/>
  <c r="G232" i="6"/>
  <c r="F232" i="6"/>
  <c r="K231" i="6"/>
  <c r="J231" i="6"/>
  <c r="I231" i="6"/>
  <c r="W231" i="6" s="1"/>
  <c r="H231" i="6"/>
  <c r="G231" i="6"/>
  <c r="F231" i="6"/>
  <c r="K230" i="6"/>
  <c r="J230" i="6"/>
  <c r="I230" i="6"/>
  <c r="H230" i="6"/>
  <c r="G230" i="6"/>
  <c r="F230" i="6"/>
  <c r="K229" i="6"/>
  <c r="J229" i="6"/>
  <c r="W229" i="6"/>
  <c r="I229" i="6"/>
  <c r="H229" i="6"/>
  <c r="G229" i="6"/>
  <c r="F229" i="6"/>
  <c r="C228" i="6"/>
  <c r="V227" i="6"/>
  <c r="K235" i="6" s="1"/>
  <c r="T227" i="6"/>
  <c r="K234" i="6" s="1"/>
  <c r="R227" i="6"/>
  <c r="K233" i="6" s="1"/>
  <c r="U227" i="6"/>
  <c r="I235" i="6" s="1"/>
  <c r="S227" i="6"/>
  <c r="I234" i="6" s="1"/>
  <c r="Q227" i="6"/>
  <c r="I233" i="6" s="1"/>
  <c r="E227" i="6"/>
  <c r="D227" i="6"/>
  <c r="B227" i="6"/>
  <c r="AA225" i="6"/>
  <c r="Z225" i="6"/>
  <c r="X225" i="6"/>
  <c r="P225" i="6"/>
  <c r="K224" i="6"/>
  <c r="J225" i="6" s="1"/>
  <c r="J224" i="6"/>
  <c r="I224" i="6"/>
  <c r="Y225" i="6" s="1"/>
  <c r="H224" i="6"/>
  <c r="G224" i="6"/>
  <c r="F224" i="6"/>
  <c r="V224" i="6"/>
  <c r="T224" i="6"/>
  <c r="R224" i="6"/>
  <c r="U224" i="6"/>
  <c r="S224" i="6"/>
  <c r="Q224" i="6"/>
  <c r="E224" i="6"/>
  <c r="D224" i="6"/>
  <c r="B224" i="6"/>
  <c r="AA222" i="6"/>
  <c r="Z222" i="6"/>
  <c r="X222" i="6"/>
  <c r="AB221" i="6"/>
  <c r="I221" i="6"/>
  <c r="H221" i="6"/>
  <c r="G221" i="6"/>
  <c r="E221" i="6"/>
  <c r="J220" i="6"/>
  <c r="E220" i="6"/>
  <c r="J219" i="6"/>
  <c r="I219" i="6"/>
  <c r="E219" i="6"/>
  <c r="K218" i="6"/>
  <c r="J218" i="6"/>
  <c r="I218" i="6"/>
  <c r="H218" i="6"/>
  <c r="G218" i="6"/>
  <c r="F218" i="6"/>
  <c r="K217" i="6"/>
  <c r="J217" i="6"/>
  <c r="I217" i="6"/>
  <c r="H217" i="6"/>
  <c r="G217" i="6"/>
  <c r="F217" i="6"/>
  <c r="K216" i="6"/>
  <c r="J216" i="6"/>
  <c r="I216" i="6"/>
  <c r="W216" i="6" s="1"/>
  <c r="H216" i="6"/>
  <c r="G216" i="6"/>
  <c r="F216" i="6"/>
  <c r="V215" i="6"/>
  <c r="T215" i="6"/>
  <c r="K220" i="6" s="1"/>
  <c r="R215" i="6"/>
  <c r="K219" i="6" s="1"/>
  <c r="U215" i="6"/>
  <c r="S215" i="6"/>
  <c r="I220" i="6" s="1"/>
  <c r="Y222" i="6" s="1"/>
  <c r="Q215" i="6"/>
  <c r="E215" i="6"/>
  <c r="D215" i="6"/>
  <c r="B215" i="6"/>
  <c r="AA213" i="6"/>
  <c r="Z213" i="6"/>
  <c r="X213" i="6"/>
  <c r="I212" i="6"/>
  <c r="AB212" i="6" s="1"/>
  <c r="H212" i="6"/>
  <c r="G212" i="6"/>
  <c r="E212" i="6"/>
  <c r="J211" i="6"/>
  <c r="E211" i="6"/>
  <c r="K210" i="6"/>
  <c r="J210" i="6"/>
  <c r="E210" i="6"/>
  <c r="K209" i="6"/>
  <c r="J209" i="6"/>
  <c r="E209" i="6"/>
  <c r="K208" i="6"/>
  <c r="J208" i="6"/>
  <c r="I208" i="6"/>
  <c r="H208" i="6"/>
  <c r="G208" i="6"/>
  <c r="F208" i="6"/>
  <c r="K207" i="6"/>
  <c r="J207" i="6"/>
  <c r="I207" i="6"/>
  <c r="W207" i="6" s="1"/>
  <c r="H207" i="6"/>
  <c r="G207" i="6"/>
  <c r="F207" i="6"/>
  <c r="K206" i="6"/>
  <c r="J206" i="6"/>
  <c r="I206" i="6"/>
  <c r="H206" i="6"/>
  <c r="G206" i="6"/>
  <c r="F206" i="6"/>
  <c r="K205" i="6"/>
  <c r="J205" i="6"/>
  <c r="I205" i="6"/>
  <c r="H205" i="6"/>
  <c r="G205" i="6"/>
  <c r="F205" i="6"/>
  <c r="V204" i="6"/>
  <c r="K211" i="6" s="1"/>
  <c r="T204" i="6"/>
  <c r="R204" i="6"/>
  <c r="U204" i="6"/>
  <c r="I211" i="6" s="1"/>
  <c r="S204" i="6"/>
  <c r="I210" i="6" s="1"/>
  <c r="Q204" i="6"/>
  <c r="I209" i="6" s="1"/>
  <c r="E204" i="6"/>
  <c r="D204" i="6"/>
  <c r="B204" i="6"/>
  <c r="AA202" i="6"/>
  <c r="Z202" i="6"/>
  <c r="X202" i="6"/>
  <c r="K201" i="6"/>
  <c r="J201" i="6"/>
  <c r="I201" i="6"/>
  <c r="H201" i="6"/>
  <c r="G201" i="6"/>
  <c r="F201" i="6"/>
  <c r="K200" i="6"/>
  <c r="J200" i="6"/>
  <c r="I200" i="6"/>
  <c r="I198" i="6" s="1"/>
  <c r="H200" i="6"/>
  <c r="G200" i="6"/>
  <c r="F200" i="6"/>
  <c r="K199" i="6"/>
  <c r="AD202" i="6" s="1"/>
  <c r="J199" i="6"/>
  <c r="I199" i="6"/>
  <c r="H199" i="6"/>
  <c r="G199" i="6"/>
  <c r="F199" i="6"/>
  <c r="C197" i="6"/>
  <c r="V196" i="6"/>
  <c r="T196" i="6"/>
  <c r="R196" i="6"/>
  <c r="U196" i="6"/>
  <c r="S196" i="6"/>
  <c r="Q196" i="6"/>
  <c r="E196" i="6"/>
  <c r="D196" i="6"/>
  <c r="B196" i="6"/>
  <c r="AA194" i="6"/>
  <c r="Z194" i="6"/>
  <c r="X194" i="6"/>
  <c r="H194" i="6"/>
  <c r="K193" i="6"/>
  <c r="J193" i="6"/>
  <c r="I193" i="6"/>
  <c r="H193" i="6"/>
  <c r="G193" i="6"/>
  <c r="F193" i="6"/>
  <c r="K192" i="6"/>
  <c r="J192" i="6"/>
  <c r="I192" i="6"/>
  <c r="I190" i="6" s="1"/>
  <c r="H192" i="6"/>
  <c r="G192" i="6"/>
  <c r="F192" i="6"/>
  <c r="K191" i="6"/>
  <c r="AD194" i="6" s="1"/>
  <c r="J191" i="6"/>
  <c r="I191" i="6"/>
  <c r="H191" i="6"/>
  <c r="G191" i="6"/>
  <c r="F191" i="6"/>
  <c r="C189" i="6"/>
  <c r="V188" i="6"/>
  <c r="T188" i="6"/>
  <c r="R188" i="6"/>
  <c r="U188" i="6"/>
  <c r="S188" i="6"/>
  <c r="Q188" i="6"/>
  <c r="E188" i="6"/>
  <c r="D188" i="6"/>
  <c r="B188" i="6"/>
  <c r="AA186" i="6"/>
  <c r="Z186" i="6"/>
  <c r="X186" i="6"/>
  <c r="K185" i="6"/>
  <c r="J185" i="6"/>
  <c r="I185" i="6"/>
  <c r="H185" i="6"/>
  <c r="G185" i="6"/>
  <c r="F185" i="6"/>
  <c r="K184" i="6"/>
  <c r="P186" i="6" s="1"/>
  <c r="J184" i="6"/>
  <c r="I184" i="6"/>
  <c r="H184" i="6"/>
  <c r="G184" i="6"/>
  <c r="F184" i="6"/>
  <c r="K183" i="6"/>
  <c r="J183" i="6"/>
  <c r="I183" i="6"/>
  <c r="Y186" i="6" s="1"/>
  <c r="H183" i="6"/>
  <c r="G183" i="6"/>
  <c r="F183" i="6"/>
  <c r="C181" i="6"/>
  <c r="V180" i="6"/>
  <c r="T180" i="6"/>
  <c r="R180" i="6"/>
  <c r="U180" i="6"/>
  <c r="S180" i="6"/>
  <c r="Q180" i="6"/>
  <c r="E180" i="6"/>
  <c r="D180" i="6"/>
  <c r="B180" i="6"/>
  <c r="A179" i="6"/>
  <c r="H177" i="6"/>
  <c r="J177" i="6"/>
  <c r="H176" i="6"/>
  <c r="J176" i="6"/>
  <c r="A175" i="6"/>
  <c r="AA172" i="6"/>
  <c r="Z172" i="6"/>
  <c r="Y172" i="6"/>
  <c r="I171" i="6"/>
  <c r="AB171" i="6" s="1"/>
  <c r="H171" i="6"/>
  <c r="G171" i="6"/>
  <c r="E171" i="6"/>
  <c r="J170" i="6"/>
  <c r="E170" i="6"/>
  <c r="J169" i="6"/>
  <c r="E169" i="6"/>
  <c r="K168" i="6"/>
  <c r="J168" i="6"/>
  <c r="E168" i="6"/>
  <c r="K167" i="6"/>
  <c r="J167" i="6"/>
  <c r="I167" i="6"/>
  <c r="W167" i="6" s="1"/>
  <c r="H167" i="6"/>
  <c r="G167" i="6"/>
  <c r="F167" i="6"/>
  <c r="K166" i="6"/>
  <c r="J166" i="6"/>
  <c r="I166" i="6"/>
  <c r="H166" i="6"/>
  <c r="G166" i="6"/>
  <c r="F166" i="6"/>
  <c r="K165" i="6"/>
  <c r="J165" i="6"/>
  <c r="I165" i="6"/>
  <c r="H165" i="6"/>
  <c r="G165" i="6"/>
  <c r="F165" i="6"/>
  <c r="C164" i="6"/>
  <c r="V163" i="6"/>
  <c r="K170" i="6" s="1"/>
  <c r="T163" i="6"/>
  <c r="K169" i="6" s="1"/>
  <c r="R163" i="6"/>
  <c r="U163" i="6"/>
  <c r="I170" i="6" s="1"/>
  <c r="S163" i="6"/>
  <c r="I169" i="6" s="1"/>
  <c r="Q163" i="6"/>
  <c r="I168" i="6" s="1"/>
  <c r="X172" i="6" s="1"/>
  <c r="E163" i="6"/>
  <c r="D163" i="6"/>
  <c r="B163" i="6"/>
  <c r="AA161" i="6"/>
  <c r="Z161" i="6"/>
  <c r="Y161" i="6"/>
  <c r="I160" i="6"/>
  <c r="AB160" i="6" s="1"/>
  <c r="H160" i="6"/>
  <c r="G160" i="6"/>
  <c r="E160" i="6"/>
  <c r="J159" i="6"/>
  <c r="E159" i="6"/>
  <c r="J158" i="6"/>
  <c r="E158" i="6"/>
  <c r="K157" i="6"/>
  <c r="J157" i="6"/>
  <c r="H157" i="6"/>
  <c r="AA157" i="6"/>
  <c r="Z157" i="6"/>
  <c r="Y157" i="6"/>
  <c r="I157" i="6"/>
  <c r="X157" i="6" s="1"/>
  <c r="F157" i="6"/>
  <c r="V157" i="6"/>
  <c r="T157" i="6"/>
  <c r="R157" i="6"/>
  <c r="U157" i="6"/>
  <c r="S157" i="6"/>
  <c r="I159" i="6" s="1"/>
  <c r="Q157" i="6"/>
  <c r="E157" i="6"/>
  <c r="D157" i="6"/>
  <c r="B157" i="6"/>
  <c r="K156" i="6"/>
  <c r="J156" i="6"/>
  <c r="I156" i="6"/>
  <c r="H156" i="6"/>
  <c r="G156" i="6"/>
  <c r="F156" i="6"/>
  <c r="K155" i="6"/>
  <c r="J155" i="6"/>
  <c r="I155" i="6"/>
  <c r="H155" i="6"/>
  <c r="G155" i="6"/>
  <c r="F155" i="6"/>
  <c r="C154" i="6"/>
  <c r="V153" i="6"/>
  <c r="T153" i="6"/>
  <c r="K159" i="6" s="1"/>
  <c r="R153" i="6"/>
  <c r="U153" i="6"/>
  <c r="S153" i="6"/>
  <c r="Q153" i="6"/>
  <c r="I158" i="6" s="1"/>
  <c r="E153" i="6"/>
  <c r="D153" i="6"/>
  <c r="B153" i="6"/>
  <c r="AA151" i="6"/>
  <c r="Z151" i="6"/>
  <c r="Y151" i="6"/>
  <c r="K150" i="6"/>
  <c r="J151" i="6" s="1"/>
  <c r="J150" i="6"/>
  <c r="I150" i="6"/>
  <c r="H150" i="6"/>
  <c r="G150" i="6"/>
  <c r="F150" i="6"/>
  <c r="V150" i="6"/>
  <c r="T150" i="6"/>
  <c r="R150" i="6"/>
  <c r="U150" i="6"/>
  <c r="S150" i="6"/>
  <c r="Q150" i="6"/>
  <c r="E150" i="6"/>
  <c r="D150" i="6"/>
  <c r="B150" i="6"/>
  <c r="AA148" i="6"/>
  <c r="Z148" i="6"/>
  <c r="Y148" i="6"/>
  <c r="P148" i="6"/>
  <c r="J148" i="6"/>
  <c r="K147" i="6"/>
  <c r="J147" i="6"/>
  <c r="I147" i="6"/>
  <c r="O148" i="6" s="1"/>
  <c r="H147" i="6"/>
  <c r="G147" i="6"/>
  <c r="F147" i="6"/>
  <c r="V147" i="6"/>
  <c r="T147" i="6"/>
  <c r="R147" i="6"/>
  <c r="U147" i="6"/>
  <c r="S147" i="6"/>
  <c r="Q147" i="6"/>
  <c r="E147" i="6"/>
  <c r="D147" i="6"/>
  <c r="B147" i="6"/>
  <c r="AA145" i="6"/>
  <c r="Z145" i="6"/>
  <c r="Y145" i="6"/>
  <c r="K144" i="6"/>
  <c r="J145" i="6" s="1"/>
  <c r="J144" i="6"/>
  <c r="I144" i="6"/>
  <c r="H144" i="6"/>
  <c r="G144" i="6"/>
  <c r="F144" i="6"/>
  <c r="V144" i="6"/>
  <c r="T144" i="6"/>
  <c r="R144" i="6"/>
  <c r="U144" i="6"/>
  <c r="S144" i="6"/>
  <c r="Q144" i="6"/>
  <c r="E144" i="6"/>
  <c r="D144" i="6"/>
  <c r="B144" i="6"/>
  <c r="AA142" i="6"/>
  <c r="Z142" i="6"/>
  <c r="Y142" i="6"/>
  <c r="I141" i="6"/>
  <c r="AB141" i="6" s="1"/>
  <c r="H141" i="6"/>
  <c r="G141" i="6"/>
  <c r="E141" i="6"/>
  <c r="J140" i="6"/>
  <c r="I140" i="6"/>
  <c r="E140" i="6"/>
  <c r="K139" i="6"/>
  <c r="J139" i="6"/>
  <c r="E139" i="6"/>
  <c r="J138" i="6"/>
  <c r="I138" i="6"/>
  <c r="E138" i="6"/>
  <c r="K137" i="6"/>
  <c r="J137" i="6"/>
  <c r="I137" i="6"/>
  <c r="H137" i="6"/>
  <c r="G137" i="6"/>
  <c r="F137" i="6"/>
  <c r="K136" i="6"/>
  <c r="J136" i="6"/>
  <c r="I136" i="6"/>
  <c r="W136" i="6" s="1"/>
  <c r="H136" i="6"/>
  <c r="G136" i="6"/>
  <c r="F136" i="6"/>
  <c r="K135" i="6"/>
  <c r="J135" i="6"/>
  <c r="I135" i="6"/>
  <c r="H135" i="6"/>
  <c r="G135" i="6"/>
  <c r="F135" i="6"/>
  <c r="K134" i="6"/>
  <c r="J134" i="6"/>
  <c r="I134" i="6"/>
  <c r="H134" i="6"/>
  <c r="G134" i="6"/>
  <c r="F134" i="6"/>
  <c r="C133" i="6"/>
  <c r="V132" i="6"/>
  <c r="K140" i="6" s="1"/>
  <c r="T132" i="6"/>
  <c r="R132" i="6"/>
  <c r="K138" i="6" s="1"/>
  <c r="U132" i="6"/>
  <c r="S132" i="6"/>
  <c r="I139" i="6" s="1"/>
  <c r="Q132" i="6"/>
  <c r="E132" i="6"/>
  <c r="D132" i="6"/>
  <c r="B132" i="6"/>
  <c r="AA130" i="6"/>
  <c r="Z130" i="6"/>
  <c r="Y130" i="6"/>
  <c r="AB129" i="6"/>
  <c r="I129" i="6"/>
  <c r="H129" i="6"/>
  <c r="G129" i="6"/>
  <c r="E129" i="6"/>
  <c r="J128" i="6"/>
  <c r="E128" i="6"/>
  <c r="J127" i="6"/>
  <c r="E127" i="6"/>
  <c r="J126" i="6"/>
  <c r="E126" i="6"/>
  <c r="K125" i="6"/>
  <c r="J125" i="6"/>
  <c r="I125" i="6"/>
  <c r="H125" i="6"/>
  <c r="G125" i="6"/>
  <c r="F125" i="6"/>
  <c r="K124" i="6"/>
  <c r="J124" i="6"/>
  <c r="I124" i="6"/>
  <c r="W124" i="6" s="1"/>
  <c r="H124" i="6"/>
  <c r="G124" i="6"/>
  <c r="F124" i="6"/>
  <c r="K123" i="6"/>
  <c r="J123" i="6"/>
  <c r="I123" i="6"/>
  <c r="H123" i="6"/>
  <c r="G123" i="6"/>
  <c r="F123" i="6"/>
  <c r="K122" i="6"/>
  <c r="J122" i="6"/>
  <c r="W122" i="6"/>
  <c r="I122" i="6"/>
  <c r="H122" i="6"/>
  <c r="G122" i="6"/>
  <c r="F122" i="6"/>
  <c r="C121" i="6"/>
  <c r="V120" i="6"/>
  <c r="K128" i="6" s="1"/>
  <c r="T120" i="6"/>
  <c r="K127" i="6" s="1"/>
  <c r="R120" i="6"/>
  <c r="K126" i="6" s="1"/>
  <c r="U120" i="6"/>
  <c r="I128" i="6" s="1"/>
  <c r="S120" i="6"/>
  <c r="I127" i="6" s="1"/>
  <c r="Q120" i="6"/>
  <c r="I126" i="6" s="1"/>
  <c r="E120" i="6"/>
  <c r="D120" i="6"/>
  <c r="B120" i="6"/>
  <c r="AA118" i="6"/>
  <c r="Z118" i="6"/>
  <c r="Y118" i="6"/>
  <c r="P118" i="6"/>
  <c r="K117" i="6"/>
  <c r="J118" i="6" s="1"/>
  <c r="J117" i="6"/>
  <c r="I117" i="6"/>
  <c r="O118" i="6" s="1"/>
  <c r="H117" i="6"/>
  <c r="G117" i="6"/>
  <c r="F117" i="6"/>
  <c r="V117" i="6"/>
  <c r="T117" i="6"/>
  <c r="R117" i="6"/>
  <c r="U117" i="6"/>
  <c r="S117" i="6"/>
  <c r="Q117" i="6"/>
  <c r="E117" i="6"/>
  <c r="D117" i="6"/>
  <c r="B117" i="6"/>
  <c r="AA115" i="6"/>
  <c r="Z115" i="6"/>
  <c r="Y115" i="6"/>
  <c r="X115" i="6"/>
  <c r="K114" i="6"/>
  <c r="P115" i="6" s="1"/>
  <c r="J114" i="6"/>
  <c r="I114" i="6"/>
  <c r="H115" i="6" s="1"/>
  <c r="H114" i="6"/>
  <c r="G114" i="6"/>
  <c r="F114" i="6"/>
  <c r="V114" i="6"/>
  <c r="T114" i="6"/>
  <c r="R114" i="6"/>
  <c r="U114" i="6"/>
  <c r="S114" i="6"/>
  <c r="Q114" i="6"/>
  <c r="E114" i="6"/>
  <c r="D114" i="6"/>
  <c r="B114" i="6"/>
  <c r="AA112" i="6"/>
  <c r="Z112" i="6"/>
  <c r="Y112" i="6"/>
  <c r="K111" i="6"/>
  <c r="P112" i="6" s="1"/>
  <c r="J111" i="6"/>
  <c r="I111" i="6"/>
  <c r="H112" i="6" s="1"/>
  <c r="H111" i="6"/>
  <c r="G111" i="6"/>
  <c r="F111" i="6"/>
  <c r="V111" i="6"/>
  <c r="T111" i="6"/>
  <c r="R111" i="6"/>
  <c r="U111" i="6"/>
  <c r="S111" i="6"/>
  <c r="Q111" i="6"/>
  <c r="E111" i="6"/>
  <c r="D111" i="6"/>
  <c r="B111" i="6"/>
  <c r="AA109" i="6"/>
  <c r="Z109" i="6"/>
  <c r="X109" i="6"/>
  <c r="AB108" i="6"/>
  <c r="I108" i="6"/>
  <c r="H108" i="6"/>
  <c r="G108" i="6"/>
  <c r="E108" i="6"/>
  <c r="J107" i="6"/>
  <c r="E107" i="6"/>
  <c r="J106" i="6"/>
  <c r="E106" i="6"/>
  <c r="K105" i="6"/>
  <c r="J105" i="6"/>
  <c r="H105" i="6"/>
  <c r="AA105" i="6"/>
  <c r="Z105" i="6"/>
  <c r="X105" i="6"/>
  <c r="I105" i="6"/>
  <c r="Y105" i="6" s="1"/>
  <c r="F105" i="6"/>
  <c r="V105" i="6"/>
  <c r="T105" i="6"/>
  <c r="R105" i="6"/>
  <c r="U105" i="6"/>
  <c r="S105" i="6"/>
  <c r="Q105" i="6"/>
  <c r="E105" i="6"/>
  <c r="D105" i="6"/>
  <c r="B105" i="6"/>
  <c r="K104" i="6"/>
  <c r="J104" i="6"/>
  <c r="H104" i="6"/>
  <c r="AA104" i="6"/>
  <c r="Z104" i="6"/>
  <c r="X104" i="6"/>
  <c r="I104" i="6"/>
  <c r="Y104" i="6" s="1"/>
  <c r="F104" i="6"/>
  <c r="V104" i="6"/>
  <c r="T104" i="6"/>
  <c r="K107" i="6" s="1"/>
  <c r="R104" i="6"/>
  <c r="U104" i="6"/>
  <c r="S104" i="6"/>
  <c r="Q104" i="6"/>
  <c r="E104" i="6"/>
  <c r="D104" i="6"/>
  <c r="B104" i="6"/>
  <c r="K103" i="6"/>
  <c r="J103" i="6"/>
  <c r="I103" i="6"/>
  <c r="H103" i="6"/>
  <c r="G103" i="6"/>
  <c r="F103" i="6"/>
  <c r="K102" i="6"/>
  <c r="J102" i="6"/>
  <c r="I102" i="6"/>
  <c r="H102" i="6"/>
  <c r="G102" i="6"/>
  <c r="F102" i="6"/>
  <c r="V101" i="6"/>
  <c r="T101" i="6"/>
  <c r="R101" i="6"/>
  <c r="U101" i="6"/>
  <c r="S101" i="6"/>
  <c r="I107" i="6" s="1"/>
  <c r="Q101" i="6"/>
  <c r="E101" i="6"/>
  <c r="D101" i="6"/>
  <c r="B101" i="6"/>
  <c r="AA99" i="6"/>
  <c r="Z99" i="6"/>
  <c r="Y99" i="6"/>
  <c r="X99" i="6"/>
  <c r="K98" i="6"/>
  <c r="P99" i="6" s="1"/>
  <c r="J98" i="6"/>
  <c r="I98" i="6"/>
  <c r="O99" i="6" s="1"/>
  <c r="H98" i="6"/>
  <c r="G98" i="6"/>
  <c r="F98" i="6"/>
  <c r="V98" i="6"/>
  <c r="T98" i="6"/>
  <c r="R98" i="6"/>
  <c r="U98" i="6"/>
  <c r="S98" i="6"/>
  <c r="Q98" i="6"/>
  <c r="E98" i="6"/>
  <c r="D98" i="6"/>
  <c r="B98" i="6"/>
  <c r="AA96" i="6"/>
  <c r="Z96" i="6"/>
  <c r="Y96" i="6"/>
  <c r="I95" i="6"/>
  <c r="AB95" i="6" s="1"/>
  <c r="H95" i="6"/>
  <c r="G95" i="6"/>
  <c r="E95" i="6"/>
  <c r="J94" i="6"/>
  <c r="E94" i="6"/>
  <c r="J93" i="6"/>
  <c r="E93" i="6"/>
  <c r="K92" i="6"/>
  <c r="J92" i="6"/>
  <c r="H92" i="6"/>
  <c r="AA92" i="6"/>
  <c r="Z92" i="6"/>
  <c r="Y92" i="6"/>
  <c r="I92" i="6"/>
  <c r="X92" i="6" s="1"/>
  <c r="F92" i="6"/>
  <c r="V92" i="6"/>
  <c r="T92" i="6"/>
  <c r="R92" i="6"/>
  <c r="U92" i="6"/>
  <c r="S92" i="6"/>
  <c r="I94" i="6" s="1"/>
  <c r="Q92" i="6"/>
  <c r="E92" i="6"/>
  <c r="D92" i="6"/>
  <c r="B92" i="6"/>
  <c r="K91" i="6"/>
  <c r="J91" i="6"/>
  <c r="I91" i="6"/>
  <c r="H91" i="6"/>
  <c r="G91" i="6"/>
  <c r="F91" i="6"/>
  <c r="K90" i="6"/>
  <c r="J90" i="6"/>
  <c r="I90" i="6"/>
  <c r="H90" i="6"/>
  <c r="G90" i="6"/>
  <c r="F90" i="6"/>
  <c r="C89" i="6"/>
  <c r="V88" i="6"/>
  <c r="T88" i="6"/>
  <c r="R88" i="6"/>
  <c r="U88" i="6"/>
  <c r="S88" i="6"/>
  <c r="Q88" i="6"/>
  <c r="E88" i="6"/>
  <c r="D88" i="6"/>
  <c r="B88" i="6"/>
  <c r="AA86" i="6"/>
  <c r="Z86" i="6"/>
  <c r="Y86" i="6"/>
  <c r="K85" i="6"/>
  <c r="J86" i="6" s="1"/>
  <c r="J85" i="6"/>
  <c r="I85" i="6"/>
  <c r="X86" i="6" s="1"/>
  <c r="H85" i="6"/>
  <c r="G85" i="6"/>
  <c r="F85" i="6"/>
  <c r="V85" i="6"/>
  <c r="T85" i="6"/>
  <c r="R85" i="6"/>
  <c r="U85" i="6"/>
  <c r="S85" i="6"/>
  <c r="Q85" i="6"/>
  <c r="E85" i="6"/>
  <c r="D85" i="6"/>
  <c r="B85" i="6"/>
  <c r="AA83" i="6"/>
  <c r="Z83" i="6"/>
  <c r="Y83" i="6"/>
  <c r="I82" i="6"/>
  <c r="AB82" i="6" s="1"/>
  <c r="H82" i="6"/>
  <c r="G82" i="6"/>
  <c r="E82" i="6"/>
  <c r="J81" i="6"/>
  <c r="E81" i="6"/>
  <c r="J80" i="6"/>
  <c r="I80" i="6"/>
  <c r="E80" i="6"/>
  <c r="K79" i="6"/>
  <c r="J79" i="6"/>
  <c r="I79" i="6"/>
  <c r="H79" i="6"/>
  <c r="G79" i="6"/>
  <c r="F79" i="6"/>
  <c r="K78" i="6"/>
  <c r="J78" i="6"/>
  <c r="I78" i="6"/>
  <c r="H78" i="6"/>
  <c r="G78" i="6"/>
  <c r="F78" i="6"/>
  <c r="K77" i="6"/>
  <c r="J77" i="6"/>
  <c r="W77" i="6"/>
  <c r="I77" i="6"/>
  <c r="H77" i="6"/>
  <c r="G77" i="6"/>
  <c r="F77" i="6"/>
  <c r="C76" i="6"/>
  <c r="V75" i="6"/>
  <c r="T75" i="6"/>
  <c r="K81" i="6" s="1"/>
  <c r="R75" i="6"/>
  <c r="K80" i="6" s="1"/>
  <c r="U75" i="6"/>
  <c r="S75" i="6"/>
  <c r="I81" i="6" s="1"/>
  <c r="Q75" i="6"/>
  <c r="E75" i="6"/>
  <c r="D75" i="6"/>
  <c r="B75" i="6"/>
  <c r="AA73" i="6"/>
  <c r="Z73" i="6"/>
  <c r="Y73" i="6"/>
  <c r="H73" i="6"/>
  <c r="K72" i="6"/>
  <c r="P73" i="6" s="1"/>
  <c r="J72" i="6"/>
  <c r="I72" i="6"/>
  <c r="X73" i="6" s="1"/>
  <c r="H72" i="6"/>
  <c r="G72" i="6"/>
  <c r="F72" i="6"/>
  <c r="V72" i="6"/>
  <c r="T72" i="6"/>
  <c r="R72" i="6"/>
  <c r="U72" i="6"/>
  <c r="S72" i="6"/>
  <c r="Q72" i="6"/>
  <c r="E72" i="6"/>
  <c r="D72" i="6"/>
  <c r="B72" i="6"/>
  <c r="AA70" i="6"/>
  <c r="Z70" i="6"/>
  <c r="Y70" i="6"/>
  <c r="P70" i="6"/>
  <c r="K69" i="6"/>
  <c r="J70" i="6" s="1"/>
  <c r="J69" i="6"/>
  <c r="I69" i="6"/>
  <c r="X70" i="6" s="1"/>
  <c r="H69" i="6"/>
  <c r="G69" i="6"/>
  <c r="F69" i="6"/>
  <c r="V69" i="6"/>
  <c r="T69" i="6"/>
  <c r="R69" i="6"/>
  <c r="U69" i="6"/>
  <c r="S69" i="6"/>
  <c r="Q69" i="6"/>
  <c r="E69" i="6"/>
  <c r="D69" i="6"/>
  <c r="B69" i="6"/>
  <c r="AA67" i="6"/>
  <c r="Z67" i="6"/>
  <c r="Y67" i="6"/>
  <c r="I66" i="6"/>
  <c r="AB66" i="6" s="1"/>
  <c r="H66" i="6"/>
  <c r="G66" i="6"/>
  <c r="E66" i="6"/>
  <c r="J65" i="6"/>
  <c r="E65" i="6"/>
  <c r="J64" i="6"/>
  <c r="E64" i="6"/>
  <c r="K63" i="6"/>
  <c r="J63" i="6"/>
  <c r="I63" i="6"/>
  <c r="H63" i="6"/>
  <c r="G63" i="6"/>
  <c r="F63" i="6"/>
  <c r="K62" i="6"/>
  <c r="J62" i="6"/>
  <c r="I62" i="6"/>
  <c r="H62" i="6"/>
  <c r="G62" i="6"/>
  <c r="F62" i="6"/>
  <c r="C61" i="6"/>
  <c r="V60" i="6"/>
  <c r="T60" i="6"/>
  <c r="K65" i="6" s="1"/>
  <c r="R60" i="6"/>
  <c r="K64" i="6" s="1"/>
  <c r="U60" i="6"/>
  <c r="S60" i="6"/>
  <c r="I65" i="6" s="1"/>
  <c r="Q60" i="6"/>
  <c r="I64" i="6" s="1"/>
  <c r="E60" i="6"/>
  <c r="D60" i="6"/>
  <c r="B60" i="6"/>
  <c r="AA58" i="6"/>
  <c r="Z58" i="6"/>
  <c r="Y58" i="6"/>
  <c r="P58" i="6"/>
  <c r="K57" i="6"/>
  <c r="J58" i="6" s="1"/>
  <c r="J57" i="6"/>
  <c r="I57" i="6"/>
  <c r="O58" i="6" s="1"/>
  <c r="H57" i="6"/>
  <c r="G57" i="6"/>
  <c r="F57" i="6"/>
  <c r="V57" i="6"/>
  <c r="T57" i="6"/>
  <c r="R57" i="6"/>
  <c r="U57" i="6"/>
  <c r="S57" i="6"/>
  <c r="Q57" i="6"/>
  <c r="E57" i="6"/>
  <c r="D57" i="6"/>
  <c r="B57" i="6"/>
  <c r="AA55" i="6"/>
  <c r="Z55" i="6"/>
  <c r="Y55" i="6"/>
  <c r="AB54" i="6"/>
  <c r="I54" i="6"/>
  <c r="H54" i="6"/>
  <c r="G54" i="6"/>
  <c r="E54" i="6"/>
  <c r="J53" i="6"/>
  <c r="E53" i="6"/>
  <c r="J52" i="6"/>
  <c r="E52" i="6"/>
  <c r="K51" i="6"/>
  <c r="J51" i="6"/>
  <c r="H51" i="6"/>
  <c r="AA51" i="6"/>
  <c r="Z51" i="6"/>
  <c r="Y51" i="6"/>
  <c r="X51" i="6"/>
  <c r="I51" i="6"/>
  <c r="F51" i="6"/>
  <c r="V51" i="6"/>
  <c r="T51" i="6"/>
  <c r="R51" i="6"/>
  <c r="U51" i="6"/>
  <c r="S51" i="6"/>
  <c r="Q51" i="6"/>
  <c r="I52" i="6" s="1"/>
  <c r="E51" i="6"/>
  <c r="D51" i="6"/>
  <c r="B51" i="6"/>
  <c r="K50" i="6"/>
  <c r="J50" i="6"/>
  <c r="I50" i="6"/>
  <c r="H50" i="6"/>
  <c r="G50" i="6"/>
  <c r="F50" i="6"/>
  <c r="K49" i="6"/>
  <c r="J49" i="6"/>
  <c r="W49" i="6"/>
  <c r="I49" i="6"/>
  <c r="H49" i="6"/>
  <c r="G49" i="6"/>
  <c r="F49" i="6"/>
  <c r="C48" i="6"/>
  <c r="V47" i="6"/>
  <c r="T47" i="6"/>
  <c r="R47" i="6"/>
  <c r="K52" i="6" s="1"/>
  <c r="U47" i="6"/>
  <c r="S47" i="6"/>
  <c r="I53" i="6" s="1"/>
  <c r="Q47" i="6"/>
  <c r="E47" i="6"/>
  <c r="D47" i="6"/>
  <c r="B47" i="6"/>
  <c r="AA45" i="6"/>
  <c r="Z45" i="6"/>
  <c r="Y45" i="6"/>
  <c r="I44" i="6"/>
  <c r="AB44" i="6" s="1"/>
  <c r="H44" i="6"/>
  <c r="G44" i="6"/>
  <c r="E44" i="6"/>
  <c r="J43" i="6"/>
  <c r="E43" i="6"/>
  <c r="J42" i="6"/>
  <c r="E42" i="6"/>
  <c r="J41" i="6"/>
  <c r="E41" i="6"/>
  <c r="K40" i="6"/>
  <c r="J40" i="6"/>
  <c r="I40" i="6"/>
  <c r="W40" i="6" s="1"/>
  <c r="H40" i="6"/>
  <c r="G40" i="6"/>
  <c r="F40" i="6"/>
  <c r="K39" i="6"/>
  <c r="J39" i="6"/>
  <c r="I39" i="6"/>
  <c r="H39" i="6"/>
  <c r="G39" i="6"/>
  <c r="F39" i="6"/>
  <c r="K38" i="6"/>
  <c r="J38" i="6"/>
  <c r="I38" i="6"/>
  <c r="W38" i="6" s="1"/>
  <c r="H38" i="6"/>
  <c r="G38" i="6"/>
  <c r="F38" i="6"/>
  <c r="C37" i="6"/>
  <c r="V36" i="6"/>
  <c r="K43" i="6" s="1"/>
  <c r="T36" i="6"/>
  <c r="K42" i="6" s="1"/>
  <c r="R36" i="6"/>
  <c r="K41" i="6" s="1"/>
  <c r="U36" i="6"/>
  <c r="I43" i="6" s="1"/>
  <c r="S36" i="6"/>
  <c r="I42" i="6" s="1"/>
  <c r="Q36" i="6"/>
  <c r="I41" i="6" s="1"/>
  <c r="E36" i="6"/>
  <c r="D36" i="6"/>
  <c r="B36" i="6"/>
  <c r="A35" i="6"/>
  <c r="A33" i="6"/>
  <c r="AN31" i="6"/>
  <c r="B31" i="6"/>
  <c r="AN29" i="6"/>
  <c r="B29" i="6"/>
  <c r="A27" i="6"/>
  <c r="A6" i="6"/>
  <c r="A1" i="6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7" i="1"/>
  <c r="E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EG29" i="1"/>
  <c r="EH29" i="1"/>
  <c r="EI29" i="1"/>
  <c r="EJ29" i="1"/>
  <c r="EK29" i="1"/>
  <c r="EL29" i="1"/>
  <c r="EM29" i="1"/>
  <c r="EN29" i="1"/>
  <c r="EO29" i="1"/>
  <c r="EP29" i="1"/>
  <c r="EQ29" i="1"/>
  <c r="ER29" i="1"/>
  <c r="ES29" i="1"/>
  <c r="ET29" i="1"/>
  <c r="EU29" i="1"/>
  <c r="EV29" i="1"/>
  <c r="EW29" i="1"/>
  <c r="EX29" i="1"/>
  <c r="EY29" i="1"/>
  <c r="EZ29" i="1"/>
  <c r="FA29" i="1"/>
  <c r="FB29" i="1"/>
  <c r="FC29" i="1"/>
  <c r="FD29" i="1"/>
  <c r="FE29" i="1"/>
  <c r="FF29" i="1"/>
  <c r="FG29" i="1"/>
  <c r="FH29" i="1"/>
  <c r="FI29" i="1"/>
  <c r="FJ29" i="1"/>
  <c r="FK29" i="1"/>
  <c r="FL29" i="1"/>
  <c r="FM29" i="1"/>
  <c r="FN29" i="1"/>
  <c r="FO29" i="1"/>
  <c r="FP29" i="1"/>
  <c r="FQ29" i="1"/>
  <c r="FR29" i="1"/>
  <c r="FS29" i="1"/>
  <c r="FT29" i="1"/>
  <c r="FU29" i="1"/>
  <c r="FV29" i="1"/>
  <c r="FW29" i="1"/>
  <c r="FX29" i="1"/>
  <c r="FY29" i="1"/>
  <c r="FZ29" i="1"/>
  <c r="GA29" i="1"/>
  <c r="GB29" i="1"/>
  <c r="GC29" i="1"/>
  <c r="GD29" i="1"/>
  <c r="GE29" i="1"/>
  <c r="GF29" i="1"/>
  <c r="GG29" i="1"/>
  <c r="GH29" i="1"/>
  <c r="GI29" i="1"/>
  <c r="GJ29" i="1"/>
  <c r="GK29" i="1"/>
  <c r="GL29" i="1"/>
  <c r="GM29" i="1"/>
  <c r="GN29" i="1"/>
  <c r="GO29" i="1"/>
  <c r="GP29" i="1"/>
  <c r="GQ29" i="1"/>
  <c r="GR29" i="1"/>
  <c r="GS29" i="1"/>
  <c r="GT29" i="1"/>
  <c r="GU29" i="1"/>
  <c r="GV29" i="1"/>
  <c r="GW29" i="1"/>
  <c r="GX29" i="1"/>
  <c r="D31" i="1"/>
  <c r="E33" i="1"/>
  <c r="Z33" i="1"/>
  <c r="AA33" i="1"/>
  <c r="AM33" i="1"/>
  <c r="AN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DL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DZ33" i="1"/>
  <c r="EA33" i="1"/>
  <c r="EB33" i="1"/>
  <c r="EC33" i="1"/>
  <c r="ED33" i="1"/>
  <c r="EE33" i="1"/>
  <c r="EF33" i="1"/>
  <c r="EG33" i="1"/>
  <c r="EH33" i="1"/>
  <c r="EI33" i="1"/>
  <c r="EJ33" i="1"/>
  <c r="EK33" i="1"/>
  <c r="EL33" i="1"/>
  <c r="EM33" i="1"/>
  <c r="EN33" i="1"/>
  <c r="EO33" i="1"/>
  <c r="EP33" i="1"/>
  <c r="EQ33" i="1"/>
  <c r="ER33" i="1"/>
  <c r="ES33" i="1"/>
  <c r="ET33" i="1"/>
  <c r="EU33" i="1"/>
  <c r="EV33" i="1"/>
  <c r="EW33" i="1"/>
  <c r="EX33" i="1"/>
  <c r="EY33" i="1"/>
  <c r="EZ33" i="1"/>
  <c r="FA33" i="1"/>
  <c r="FB33" i="1"/>
  <c r="FC33" i="1"/>
  <c r="FD33" i="1"/>
  <c r="FE33" i="1"/>
  <c r="FF33" i="1"/>
  <c r="FG33" i="1"/>
  <c r="FH33" i="1"/>
  <c r="FI33" i="1"/>
  <c r="FJ33" i="1"/>
  <c r="FK33" i="1"/>
  <c r="FL33" i="1"/>
  <c r="FM33" i="1"/>
  <c r="FN33" i="1"/>
  <c r="FO33" i="1"/>
  <c r="FP33" i="1"/>
  <c r="FQ33" i="1"/>
  <c r="FR33" i="1"/>
  <c r="FS33" i="1"/>
  <c r="FT33" i="1"/>
  <c r="FU33" i="1"/>
  <c r="FV33" i="1"/>
  <c r="FW33" i="1"/>
  <c r="FX33" i="1"/>
  <c r="FY33" i="1"/>
  <c r="FZ33" i="1"/>
  <c r="GA33" i="1"/>
  <c r="GB33" i="1"/>
  <c r="GC33" i="1"/>
  <c r="GD33" i="1"/>
  <c r="GE33" i="1"/>
  <c r="GF33" i="1"/>
  <c r="GG33" i="1"/>
  <c r="GH33" i="1"/>
  <c r="GI33" i="1"/>
  <c r="GJ33" i="1"/>
  <c r="GK33" i="1"/>
  <c r="GL33" i="1"/>
  <c r="GM33" i="1"/>
  <c r="GN33" i="1"/>
  <c r="GO33" i="1"/>
  <c r="GP33" i="1"/>
  <c r="GQ33" i="1"/>
  <c r="GR33" i="1"/>
  <c r="GS33" i="1"/>
  <c r="GT33" i="1"/>
  <c r="GU33" i="1"/>
  <c r="GV33" i="1"/>
  <c r="GW33" i="1"/>
  <c r="GX33" i="1"/>
  <c r="I35" i="1"/>
  <c r="K35" i="1"/>
  <c r="P35" i="1"/>
  <c r="T35" i="1"/>
  <c r="AC35" i="1"/>
  <c r="AD35" i="1"/>
  <c r="AB35" i="1" s="1"/>
  <c r="AE35" i="1"/>
  <c r="Q35" i="1" s="1"/>
  <c r="AF35" i="1"/>
  <c r="S35" i="1" s="1"/>
  <c r="CZ35" i="1" s="1"/>
  <c r="Y35" i="1" s="1"/>
  <c r="AG35" i="1"/>
  <c r="AH35" i="1"/>
  <c r="CV35" i="1" s="1"/>
  <c r="U35" i="1" s="1"/>
  <c r="AI35" i="1"/>
  <c r="CW35" i="1" s="1"/>
  <c r="V35" i="1" s="1"/>
  <c r="AJ35" i="1"/>
  <c r="CX35" i="1" s="1"/>
  <c r="W35" i="1" s="1"/>
  <c r="CQ35" i="1"/>
  <c r="CR35" i="1"/>
  <c r="CU35" i="1"/>
  <c r="CY35" i="1"/>
  <c r="X35" i="1" s="1"/>
  <c r="FR35" i="1"/>
  <c r="GL35" i="1"/>
  <c r="GO35" i="1"/>
  <c r="GP35" i="1"/>
  <c r="GV35" i="1"/>
  <c r="HC35" i="1" s="1"/>
  <c r="GX35" i="1" s="1"/>
  <c r="I36" i="1"/>
  <c r="I37" i="1" s="1"/>
  <c r="Q37" i="1" s="1"/>
  <c r="K36" i="1"/>
  <c r="AC36" i="1"/>
  <c r="P36" i="1" s="1"/>
  <c r="AE36" i="1"/>
  <c r="AF36" i="1"/>
  <c r="AG36" i="1"/>
  <c r="CU36" i="1" s="1"/>
  <c r="T36" i="1" s="1"/>
  <c r="AH36" i="1"/>
  <c r="AI36" i="1"/>
  <c r="CW36" i="1" s="1"/>
  <c r="AJ36" i="1"/>
  <c r="CX36" i="1" s="1"/>
  <c r="CR36" i="1"/>
  <c r="CV36" i="1"/>
  <c r="U36" i="1" s="1"/>
  <c r="FR36" i="1"/>
  <c r="GL36" i="1"/>
  <c r="GO36" i="1"/>
  <c r="GP36" i="1"/>
  <c r="GV36" i="1"/>
  <c r="HC36" i="1" s="1"/>
  <c r="GX36" i="1" s="1"/>
  <c r="AC37" i="1"/>
  <c r="AD37" i="1"/>
  <c r="AE37" i="1"/>
  <c r="AF37" i="1"/>
  <c r="AG37" i="1"/>
  <c r="CU37" i="1" s="1"/>
  <c r="T37" i="1" s="1"/>
  <c r="AH37" i="1"/>
  <c r="CV37" i="1" s="1"/>
  <c r="U37" i="1" s="1"/>
  <c r="AI37" i="1"/>
  <c r="CW37" i="1" s="1"/>
  <c r="AJ37" i="1"/>
  <c r="CR37" i="1"/>
  <c r="CT37" i="1"/>
  <c r="CX37" i="1"/>
  <c r="W37" i="1" s="1"/>
  <c r="FR37" i="1"/>
  <c r="GL37" i="1"/>
  <c r="GO37" i="1"/>
  <c r="GP37" i="1"/>
  <c r="GV37" i="1"/>
  <c r="HC37" i="1"/>
  <c r="R38" i="1"/>
  <c r="V38" i="1"/>
  <c r="W38" i="1"/>
  <c r="AC38" i="1"/>
  <c r="AD38" i="1"/>
  <c r="AE38" i="1"/>
  <c r="Q38" i="1" s="1"/>
  <c r="AF38" i="1"/>
  <c r="S38" i="1" s="1"/>
  <c r="AG38" i="1"/>
  <c r="CU38" i="1" s="1"/>
  <c r="T38" i="1" s="1"/>
  <c r="AH38" i="1"/>
  <c r="CV38" i="1" s="1"/>
  <c r="U38" i="1" s="1"/>
  <c r="AI38" i="1"/>
  <c r="AJ38" i="1"/>
  <c r="CR38" i="1"/>
  <c r="CS38" i="1"/>
  <c r="CT38" i="1"/>
  <c r="CW38" i="1"/>
  <c r="CX38" i="1"/>
  <c r="FR38" i="1"/>
  <c r="GK38" i="1"/>
  <c r="GL38" i="1"/>
  <c r="GO38" i="1"/>
  <c r="GP38" i="1"/>
  <c r="GV38" i="1"/>
  <c r="HC38" i="1"/>
  <c r="GX38" i="1" s="1"/>
  <c r="I39" i="1"/>
  <c r="K39" i="1"/>
  <c r="P39" i="1"/>
  <c r="CP39" i="1" s="1"/>
  <c r="O39" i="1" s="1"/>
  <c r="S39" i="1"/>
  <c r="CZ39" i="1" s="1"/>
  <c r="Y39" i="1" s="1"/>
  <c r="W39" i="1"/>
  <c r="X39" i="1"/>
  <c r="AC39" i="1"/>
  <c r="AB39" i="1" s="1"/>
  <c r="AD39" i="1"/>
  <c r="AE39" i="1"/>
  <c r="Q39" i="1" s="1"/>
  <c r="AF39" i="1"/>
  <c r="AG39" i="1"/>
  <c r="AH39" i="1"/>
  <c r="CV39" i="1" s="1"/>
  <c r="U39" i="1" s="1"/>
  <c r="AI39" i="1"/>
  <c r="CW39" i="1" s="1"/>
  <c r="V39" i="1" s="1"/>
  <c r="AJ39" i="1"/>
  <c r="CR39" i="1"/>
  <c r="CT39" i="1"/>
  <c r="CU39" i="1"/>
  <c r="T39" i="1" s="1"/>
  <c r="CX39" i="1"/>
  <c r="CY39" i="1"/>
  <c r="FR39" i="1"/>
  <c r="GL39" i="1"/>
  <c r="GO39" i="1"/>
  <c r="GP39" i="1"/>
  <c r="GV39" i="1"/>
  <c r="HC39" i="1"/>
  <c r="GX39" i="1" s="1"/>
  <c r="R40" i="1"/>
  <c r="GK40" i="1" s="1"/>
  <c r="AC40" i="1"/>
  <c r="P40" i="1" s="1"/>
  <c r="AD40" i="1"/>
  <c r="AE40" i="1"/>
  <c r="Q40" i="1" s="1"/>
  <c r="AF40" i="1"/>
  <c r="AG40" i="1"/>
  <c r="CU40" i="1" s="1"/>
  <c r="T40" i="1" s="1"/>
  <c r="AH40" i="1"/>
  <c r="CV40" i="1" s="1"/>
  <c r="U40" i="1" s="1"/>
  <c r="AI40" i="1"/>
  <c r="AJ40" i="1"/>
  <c r="CR40" i="1"/>
  <c r="CS40" i="1"/>
  <c r="CW40" i="1"/>
  <c r="V40" i="1" s="1"/>
  <c r="CX40" i="1"/>
  <c r="W40" i="1" s="1"/>
  <c r="FR40" i="1"/>
  <c r="GL40" i="1"/>
  <c r="GO40" i="1"/>
  <c r="GP40" i="1"/>
  <c r="GV40" i="1"/>
  <c r="GX40" i="1"/>
  <c r="HC40" i="1"/>
  <c r="Q41" i="1"/>
  <c r="AC41" i="1"/>
  <c r="AE41" i="1"/>
  <c r="AD41" i="1" s="1"/>
  <c r="AF41" i="1"/>
  <c r="S41" i="1" s="1"/>
  <c r="CZ41" i="1" s="1"/>
  <c r="Y41" i="1" s="1"/>
  <c r="AG41" i="1"/>
  <c r="AH41" i="1"/>
  <c r="CV41" i="1" s="1"/>
  <c r="U41" i="1" s="1"/>
  <c r="AI41" i="1"/>
  <c r="CW41" i="1" s="1"/>
  <c r="V41" i="1" s="1"/>
  <c r="AJ41" i="1"/>
  <c r="CQ41" i="1"/>
  <c r="CR41" i="1"/>
  <c r="CT41" i="1"/>
  <c r="CU41" i="1"/>
  <c r="T41" i="1" s="1"/>
  <c r="CX41" i="1"/>
  <c r="W41" i="1" s="1"/>
  <c r="FR41" i="1"/>
  <c r="GL41" i="1"/>
  <c r="GO41" i="1"/>
  <c r="GP41" i="1"/>
  <c r="GV41" i="1"/>
  <c r="HC41" i="1"/>
  <c r="GX41" i="1" s="1"/>
  <c r="I42" i="1"/>
  <c r="P42" i="1" s="1"/>
  <c r="K42" i="1"/>
  <c r="Q42" i="1"/>
  <c r="AC42" i="1"/>
  <c r="AE42" i="1"/>
  <c r="AF42" i="1"/>
  <c r="AG42" i="1"/>
  <c r="AH42" i="1"/>
  <c r="AI42" i="1"/>
  <c r="CW42" i="1" s="1"/>
  <c r="V42" i="1" s="1"/>
  <c r="AJ42" i="1"/>
  <c r="CX42" i="1" s="1"/>
  <c r="CQ42" i="1"/>
  <c r="CU42" i="1"/>
  <c r="T42" i="1" s="1"/>
  <c r="CV42" i="1"/>
  <c r="U42" i="1" s="1"/>
  <c r="FR42" i="1"/>
  <c r="GL42" i="1"/>
  <c r="GO42" i="1"/>
  <c r="GP42" i="1"/>
  <c r="GV42" i="1"/>
  <c r="HC42" i="1" s="1"/>
  <c r="GX42" i="1" s="1"/>
  <c r="P43" i="1"/>
  <c r="CP43" i="1" s="1"/>
  <c r="O43" i="1" s="1"/>
  <c r="S43" i="1"/>
  <c r="CZ43" i="1" s="1"/>
  <c r="Y43" i="1" s="1"/>
  <c r="X43" i="1"/>
  <c r="AC43" i="1"/>
  <c r="AD43" i="1"/>
  <c r="AE43" i="1"/>
  <c r="Q43" i="1" s="1"/>
  <c r="AF43" i="1"/>
  <c r="AG43" i="1"/>
  <c r="AH43" i="1"/>
  <c r="CV43" i="1" s="1"/>
  <c r="U43" i="1" s="1"/>
  <c r="AI43" i="1"/>
  <c r="CW43" i="1" s="1"/>
  <c r="V43" i="1" s="1"/>
  <c r="AJ43" i="1"/>
  <c r="CQ43" i="1"/>
  <c r="CR43" i="1"/>
  <c r="CT43" i="1"/>
  <c r="CU43" i="1"/>
  <c r="T43" i="1" s="1"/>
  <c r="CX43" i="1"/>
  <c r="W43" i="1" s="1"/>
  <c r="CY43" i="1"/>
  <c r="FR43" i="1"/>
  <c r="GL43" i="1"/>
  <c r="GO43" i="1"/>
  <c r="GP43" i="1"/>
  <c r="GV43" i="1"/>
  <c r="HC43" i="1"/>
  <c r="GX43" i="1" s="1"/>
  <c r="I44" i="1"/>
  <c r="P44" i="1" s="1"/>
  <c r="K44" i="1"/>
  <c r="AC44" i="1"/>
  <c r="AE44" i="1"/>
  <c r="AF44" i="1"/>
  <c r="S44" i="1" s="1"/>
  <c r="AG44" i="1"/>
  <c r="AH44" i="1"/>
  <c r="AI44" i="1"/>
  <c r="CW44" i="1" s="1"/>
  <c r="AJ44" i="1"/>
  <c r="CX44" i="1" s="1"/>
  <c r="W44" i="1" s="1"/>
  <c r="CQ44" i="1"/>
  <c r="CR44" i="1"/>
  <c r="CU44" i="1"/>
  <c r="CV44" i="1"/>
  <c r="U44" i="1" s="1"/>
  <c r="FR44" i="1"/>
  <c r="GL44" i="1"/>
  <c r="GO44" i="1"/>
  <c r="GP44" i="1"/>
  <c r="GV44" i="1"/>
  <c r="HC44" i="1" s="1"/>
  <c r="I45" i="1"/>
  <c r="V45" i="1"/>
  <c r="AC45" i="1"/>
  <c r="AD45" i="1"/>
  <c r="AE45" i="1"/>
  <c r="AF45" i="1"/>
  <c r="AB45" i="1" s="1"/>
  <c r="AG45" i="1"/>
  <c r="CU45" i="1" s="1"/>
  <c r="AH45" i="1"/>
  <c r="CV45" i="1" s="1"/>
  <c r="AI45" i="1"/>
  <c r="AJ45" i="1"/>
  <c r="CR45" i="1"/>
  <c r="CS45" i="1"/>
  <c r="CT45" i="1"/>
  <c r="CW45" i="1"/>
  <c r="CX45" i="1"/>
  <c r="FR45" i="1"/>
  <c r="GL45" i="1"/>
  <c r="GO45" i="1"/>
  <c r="GP45" i="1"/>
  <c r="GV45" i="1"/>
  <c r="GX45" i="1"/>
  <c r="HC45" i="1"/>
  <c r="Q46" i="1"/>
  <c r="AC46" i="1"/>
  <c r="AE46" i="1"/>
  <c r="AD46" i="1" s="1"/>
  <c r="AF46" i="1"/>
  <c r="CT46" i="1" s="1"/>
  <c r="AG46" i="1"/>
  <c r="CU46" i="1" s="1"/>
  <c r="T46" i="1" s="1"/>
  <c r="AH46" i="1"/>
  <c r="AI46" i="1"/>
  <c r="AJ46" i="1"/>
  <c r="CX46" i="1" s="1"/>
  <c r="W46" i="1" s="1"/>
  <c r="CR46" i="1"/>
  <c r="CS46" i="1"/>
  <c r="CV46" i="1"/>
  <c r="U46" i="1" s="1"/>
  <c r="CW46" i="1"/>
  <c r="V46" i="1" s="1"/>
  <c r="FR46" i="1"/>
  <c r="GL46" i="1"/>
  <c r="GO46" i="1"/>
  <c r="GP46" i="1"/>
  <c r="GV46" i="1"/>
  <c r="HC46" i="1" s="1"/>
  <c r="GX46" i="1" s="1"/>
  <c r="P47" i="1"/>
  <c r="Q47" i="1"/>
  <c r="T47" i="1"/>
  <c r="V47" i="1"/>
  <c r="AC47" i="1"/>
  <c r="AE47" i="1"/>
  <c r="R47" i="1" s="1"/>
  <c r="GK47" i="1" s="1"/>
  <c r="AF47" i="1"/>
  <c r="AG47" i="1"/>
  <c r="AH47" i="1"/>
  <c r="AI47" i="1"/>
  <c r="CW47" i="1" s="1"/>
  <c r="AJ47" i="1"/>
  <c r="CX47" i="1" s="1"/>
  <c r="W47" i="1" s="1"/>
  <c r="CQ47" i="1"/>
  <c r="CS47" i="1"/>
  <c r="CU47" i="1"/>
  <c r="CV47" i="1"/>
  <c r="U47" i="1" s="1"/>
  <c r="FR47" i="1"/>
  <c r="GL47" i="1"/>
  <c r="GN47" i="1"/>
  <c r="GP47" i="1"/>
  <c r="GV47" i="1"/>
  <c r="HC47" i="1" s="1"/>
  <c r="GX47" i="1"/>
  <c r="I48" i="1"/>
  <c r="Q48" i="1" s="1"/>
  <c r="R48" i="1"/>
  <c r="GK48" i="1" s="1"/>
  <c r="T48" i="1"/>
  <c r="V48" i="1"/>
  <c r="AC48" i="1"/>
  <c r="P48" i="1" s="1"/>
  <c r="AD48" i="1"/>
  <c r="AE48" i="1"/>
  <c r="AF48" i="1"/>
  <c r="AG48" i="1"/>
  <c r="AH48" i="1"/>
  <c r="CV48" i="1" s="1"/>
  <c r="U48" i="1" s="1"/>
  <c r="AI48" i="1"/>
  <c r="AJ48" i="1"/>
  <c r="CQ48" i="1"/>
  <c r="CR48" i="1"/>
  <c r="CS48" i="1"/>
  <c r="CU48" i="1"/>
  <c r="CW48" i="1"/>
  <c r="CX48" i="1"/>
  <c r="W48" i="1" s="1"/>
  <c r="FR48" i="1"/>
  <c r="GL48" i="1"/>
  <c r="GN48" i="1"/>
  <c r="GP48" i="1"/>
  <c r="GV48" i="1"/>
  <c r="HC48" i="1"/>
  <c r="GX48" i="1" s="1"/>
  <c r="I49" i="1"/>
  <c r="P49" i="1"/>
  <c r="Q49" i="1"/>
  <c r="R49" i="1"/>
  <c r="GK49" i="1" s="1"/>
  <c r="U49" i="1"/>
  <c r="AC49" i="1"/>
  <c r="AD49" i="1"/>
  <c r="AE49" i="1"/>
  <c r="AF49" i="1"/>
  <c r="AG49" i="1"/>
  <c r="AH49" i="1"/>
  <c r="CV49" i="1" s="1"/>
  <c r="AI49" i="1"/>
  <c r="AJ49" i="1"/>
  <c r="CX49" i="1" s="1"/>
  <c r="W49" i="1" s="1"/>
  <c r="CQ49" i="1"/>
  <c r="CR49" i="1"/>
  <c r="CS49" i="1"/>
  <c r="CU49" i="1"/>
  <c r="T49" i="1" s="1"/>
  <c r="CW49" i="1"/>
  <c r="V49" i="1" s="1"/>
  <c r="FR49" i="1"/>
  <c r="GL49" i="1"/>
  <c r="GN49" i="1"/>
  <c r="GP49" i="1"/>
  <c r="GV49" i="1"/>
  <c r="GX49" i="1"/>
  <c r="HC49" i="1"/>
  <c r="S50" i="1"/>
  <c r="CY50" i="1" s="1"/>
  <c r="X50" i="1" s="1"/>
  <c r="U50" i="1"/>
  <c r="AC50" i="1"/>
  <c r="AE50" i="1"/>
  <c r="AF50" i="1"/>
  <c r="AG50" i="1"/>
  <c r="CU50" i="1" s="1"/>
  <c r="T50" i="1" s="1"/>
  <c r="AH50" i="1"/>
  <c r="AI50" i="1"/>
  <c r="CW50" i="1" s="1"/>
  <c r="V50" i="1" s="1"/>
  <c r="AJ50" i="1"/>
  <c r="CT50" i="1"/>
  <c r="CV50" i="1"/>
  <c r="CX50" i="1"/>
  <c r="W50" i="1" s="1"/>
  <c r="CZ50" i="1"/>
  <c r="Y50" i="1" s="1"/>
  <c r="FR50" i="1"/>
  <c r="GL50" i="1"/>
  <c r="GO50" i="1"/>
  <c r="GP50" i="1"/>
  <c r="GV50" i="1"/>
  <c r="HC50" i="1" s="1"/>
  <c r="GX50" i="1" s="1"/>
  <c r="P51" i="1"/>
  <c r="CP51" i="1" s="1"/>
  <c r="O51" i="1" s="1"/>
  <c r="R51" i="1"/>
  <c r="GK51" i="1" s="1"/>
  <c r="AC51" i="1"/>
  <c r="AD51" i="1"/>
  <c r="AB51" i="1" s="1"/>
  <c r="AE51" i="1"/>
  <c r="Q51" i="1" s="1"/>
  <c r="AF51" i="1"/>
  <c r="S51" i="1" s="1"/>
  <c r="CZ51" i="1" s="1"/>
  <c r="Y51" i="1" s="1"/>
  <c r="AG51" i="1"/>
  <c r="AH51" i="1"/>
  <c r="CV51" i="1" s="1"/>
  <c r="U51" i="1" s="1"/>
  <c r="AI51" i="1"/>
  <c r="AJ51" i="1"/>
  <c r="CX51" i="1" s="1"/>
  <c r="W51" i="1" s="1"/>
  <c r="CQ51" i="1"/>
  <c r="CR51" i="1"/>
  <c r="CS51" i="1"/>
  <c r="CU51" i="1"/>
  <c r="T51" i="1" s="1"/>
  <c r="CW51" i="1"/>
  <c r="V51" i="1" s="1"/>
  <c r="FR51" i="1"/>
  <c r="GL51" i="1"/>
  <c r="GO51" i="1"/>
  <c r="GP51" i="1"/>
  <c r="GV51" i="1"/>
  <c r="HC51" i="1" s="1"/>
  <c r="GX51" i="1" s="1"/>
  <c r="S52" i="1"/>
  <c r="AC52" i="1"/>
  <c r="AE52" i="1"/>
  <c r="AD52" i="1" s="1"/>
  <c r="AF52" i="1"/>
  <c r="AG52" i="1"/>
  <c r="CU52" i="1" s="1"/>
  <c r="T52" i="1" s="1"/>
  <c r="AH52" i="1"/>
  <c r="AI52" i="1"/>
  <c r="CW52" i="1" s="1"/>
  <c r="V52" i="1" s="1"/>
  <c r="AJ52" i="1"/>
  <c r="CR52" i="1"/>
  <c r="CT52" i="1"/>
  <c r="CV52" i="1"/>
  <c r="U52" i="1" s="1"/>
  <c r="CX52" i="1"/>
  <c r="W52" i="1" s="1"/>
  <c r="FR52" i="1"/>
  <c r="GL52" i="1"/>
  <c r="GO52" i="1"/>
  <c r="GP52" i="1"/>
  <c r="GV52" i="1"/>
  <c r="HC52" i="1"/>
  <c r="GX52" i="1" s="1"/>
  <c r="I53" i="1"/>
  <c r="K53" i="1"/>
  <c r="P53" i="1"/>
  <c r="CP53" i="1" s="1"/>
  <c r="O53" i="1" s="1"/>
  <c r="R53" i="1"/>
  <c r="GK53" i="1" s="1"/>
  <c r="AC53" i="1"/>
  <c r="AD53" i="1"/>
  <c r="AB53" i="1" s="1"/>
  <c r="AE53" i="1"/>
  <c r="Q53" i="1" s="1"/>
  <c r="AF53" i="1"/>
  <c r="S53" i="1" s="1"/>
  <c r="CZ53" i="1" s="1"/>
  <c r="Y53" i="1" s="1"/>
  <c r="AG53" i="1"/>
  <c r="AH53" i="1"/>
  <c r="CV53" i="1" s="1"/>
  <c r="U53" i="1" s="1"/>
  <c r="AI53" i="1"/>
  <c r="AJ53" i="1"/>
  <c r="CX53" i="1" s="1"/>
  <c r="W53" i="1" s="1"/>
  <c r="CQ53" i="1"/>
  <c r="CR53" i="1"/>
  <c r="CS53" i="1"/>
  <c r="CU53" i="1"/>
  <c r="T53" i="1" s="1"/>
  <c r="CW53" i="1"/>
  <c r="V53" i="1" s="1"/>
  <c r="CY53" i="1"/>
  <c r="X53" i="1" s="1"/>
  <c r="FR53" i="1"/>
  <c r="GL53" i="1"/>
  <c r="GO53" i="1"/>
  <c r="GP53" i="1"/>
  <c r="GV53" i="1"/>
  <c r="HC53" i="1" s="1"/>
  <c r="GX53" i="1"/>
  <c r="I54" i="1"/>
  <c r="Q54" i="1" s="1"/>
  <c r="K54" i="1"/>
  <c r="S54" i="1"/>
  <c r="CY54" i="1" s="1"/>
  <c r="X54" i="1" s="1"/>
  <c r="AC54" i="1"/>
  <c r="AE54" i="1"/>
  <c r="AF54" i="1"/>
  <c r="AG54" i="1"/>
  <c r="CU54" i="1" s="1"/>
  <c r="AH54" i="1"/>
  <c r="AI54" i="1"/>
  <c r="CW54" i="1" s="1"/>
  <c r="AJ54" i="1"/>
  <c r="CR54" i="1"/>
  <c r="CT54" i="1"/>
  <c r="CV54" i="1"/>
  <c r="U54" i="1" s="1"/>
  <c r="CX54" i="1"/>
  <c r="W54" i="1" s="1"/>
  <c r="CZ54" i="1"/>
  <c r="Y54" i="1" s="1"/>
  <c r="FR54" i="1"/>
  <c r="GL54" i="1"/>
  <c r="GO54" i="1"/>
  <c r="GP54" i="1"/>
  <c r="GV54" i="1"/>
  <c r="HC54" i="1"/>
  <c r="GX54" i="1" s="1"/>
  <c r="P55" i="1"/>
  <c r="R55" i="1"/>
  <c r="GK55" i="1" s="1"/>
  <c r="T55" i="1"/>
  <c r="V55" i="1"/>
  <c r="AC55" i="1"/>
  <c r="AD55" i="1"/>
  <c r="AB55" i="1" s="1"/>
  <c r="AE55" i="1"/>
  <c r="Q55" i="1" s="1"/>
  <c r="AF55" i="1"/>
  <c r="AG55" i="1"/>
  <c r="AH55" i="1"/>
  <c r="CV55" i="1" s="1"/>
  <c r="U55" i="1" s="1"/>
  <c r="AI55" i="1"/>
  <c r="AJ55" i="1"/>
  <c r="CX55" i="1" s="1"/>
  <c r="W55" i="1" s="1"/>
  <c r="CQ55" i="1"/>
  <c r="CR55" i="1"/>
  <c r="CS55" i="1"/>
  <c r="CU55" i="1"/>
  <c r="CW55" i="1"/>
  <c r="FR55" i="1"/>
  <c r="GL55" i="1"/>
  <c r="GO55" i="1"/>
  <c r="GP55" i="1"/>
  <c r="GV55" i="1"/>
  <c r="HC55" i="1" s="1"/>
  <c r="GX55" i="1"/>
  <c r="S56" i="1"/>
  <c r="CY56" i="1" s="1"/>
  <c r="X56" i="1" s="1"/>
  <c r="W56" i="1"/>
  <c r="Y56" i="1"/>
  <c r="AC56" i="1"/>
  <c r="AE56" i="1"/>
  <c r="AF56" i="1"/>
  <c r="AG56" i="1"/>
  <c r="CU56" i="1" s="1"/>
  <c r="T56" i="1" s="1"/>
  <c r="AH56" i="1"/>
  <c r="AI56" i="1"/>
  <c r="CW56" i="1" s="1"/>
  <c r="V56" i="1" s="1"/>
  <c r="AJ56" i="1"/>
  <c r="CT56" i="1"/>
  <c r="CV56" i="1"/>
  <c r="U56" i="1" s="1"/>
  <c r="CX56" i="1"/>
  <c r="CZ56" i="1"/>
  <c r="FR56" i="1"/>
  <c r="GL56" i="1"/>
  <c r="GO56" i="1"/>
  <c r="GP56" i="1"/>
  <c r="GV56" i="1"/>
  <c r="HC56" i="1" s="1"/>
  <c r="GX56" i="1" s="1"/>
  <c r="P57" i="1"/>
  <c r="R57" i="1"/>
  <c r="GK57" i="1" s="1"/>
  <c r="AC57" i="1"/>
  <c r="AD57" i="1"/>
  <c r="AE57" i="1"/>
  <c r="Q57" i="1" s="1"/>
  <c r="AF57" i="1"/>
  <c r="S57" i="1" s="1"/>
  <c r="CZ57" i="1" s="1"/>
  <c r="Y57" i="1" s="1"/>
  <c r="AG57" i="1"/>
  <c r="AH57" i="1"/>
  <c r="CV57" i="1" s="1"/>
  <c r="U57" i="1" s="1"/>
  <c r="AI57" i="1"/>
  <c r="AJ57" i="1"/>
  <c r="CX57" i="1" s="1"/>
  <c r="W57" i="1" s="1"/>
  <c r="CQ57" i="1"/>
  <c r="CR57" i="1"/>
  <c r="CS57" i="1"/>
  <c r="CT57" i="1"/>
  <c r="CU57" i="1"/>
  <c r="T57" i="1" s="1"/>
  <c r="CW57" i="1"/>
  <c r="V57" i="1" s="1"/>
  <c r="CY57" i="1"/>
  <c r="X57" i="1" s="1"/>
  <c r="FR57" i="1"/>
  <c r="GL57" i="1"/>
  <c r="GO57" i="1"/>
  <c r="GP57" i="1"/>
  <c r="GV57" i="1"/>
  <c r="GX57" i="1"/>
  <c r="HC57" i="1"/>
  <c r="I58" i="1"/>
  <c r="K58" i="1"/>
  <c r="S58" i="1"/>
  <c r="CZ58" i="1" s="1"/>
  <c r="Y58" i="1" s="1"/>
  <c r="T58" i="1"/>
  <c r="AC58" i="1"/>
  <c r="CQ58" i="1" s="1"/>
  <c r="AE58" i="1"/>
  <c r="AF58" i="1"/>
  <c r="AG58" i="1"/>
  <c r="AH58" i="1"/>
  <c r="AI58" i="1"/>
  <c r="CW58" i="1" s="1"/>
  <c r="V58" i="1" s="1"/>
  <c r="AJ58" i="1"/>
  <c r="CR58" i="1"/>
  <c r="CT58" i="1"/>
  <c r="CU58" i="1"/>
  <c r="CV58" i="1"/>
  <c r="U58" i="1" s="1"/>
  <c r="CX58" i="1"/>
  <c r="W58" i="1" s="1"/>
  <c r="CY58" i="1"/>
  <c r="X58" i="1" s="1"/>
  <c r="FR58" i="1"/>
  <c r="GL58" i="1"/>
  <c r="GO58" i="1"/>
  <c r="GP58" i="1"/>
  <c r="GV58" i="1"/>
  <c r="HC58" i="1" s="1"/>
  <c r="GX58" i="1" s="1"/>
  <c r="I59" i="1"/>
  <c r="Q59" i="1"/>
  <c r="AC59" i="1"/>
  <c r="AE59" i="1"/>
  <c r="AD59" i="1" s="1"/>
  <c r="AF59" i="1"/>
  <c r="S59" i="1" s="1"/>
  <c r="AG59" i="1"/>
  <c r="CU59" i="1" s="1"/>
  <c r="T59" i="1" s="1"/>
  <c r="AH59" i="1"/>
  <c r="AI59" i="1"/>
  <c r="AJ59" i="1"/>
  <c r="CR59" i="1"/>
  <c r="CS59" i="1"/>
  <c r="CT59" i="1"/>
  <c r="CV59" i="1"/>
  <c r="U59" i="1" s="1"/>
  <c r="CW59" i="1"/>
  <c r="V59" i="1" s="1"/>
  <c r="CX59" i="1"/>
  <c r="W59" i="1" s="1"/>
  <c r="FR59" i="1"/>
  <c r="GL59" i="1"/>
  <c r="GO59" i="1"/>
  <c r="GP59" i="1"/>
  <c r="GV59" i="1"/>
  <c r="HC59" i="1"/>
  <c r="GX59" i="1" s="1"/>
  <c r="I60" i="1"/>
  <c r="K60" i="1"/>
  <c r="R60" i="1"/>
  <c r="V60" i="1"/>
  <c r="AC60" i="1"/>
  <c r="CQ60" i="1" s="1"/>
  <c r="AD60" i="1"/>
  <c r="AE60" i="1"/>
  <c r="Q60" i="1" s="1"/>
  <c r="AF60" i="1"/>
  <c r="S60" i="1" s="1"/>
  <c r="AG60" i="1"/>
  <c r="CU60" i="1" s="1"/>
  <c r="T60" i="1" s="1"/>
  <c r="AH60" i="1"/>
  <c r="CV60" i="1" s="1"/>
  <c r="U60" i="1" s="1"/>
  <c r="AI60" i="1"/>
  <c r="AJ60" i="1"/>
  <c r="CR60" i="1"/>
  <c r="CS60" i="1"/>
  <c r="CT60" i="1"/>
  <c r="CW60" i="1"/>
  <c r="CX60" i="1"/>
  <c r="W60" i="1" s="1"/>
  <c r="FR60" i="1"/>
  <c r="GK60" i="1"/>
  <c r="GL60" i="1"/>
  <c r="GO60" i="1"/>
  <c r="GP60" i="1"/>
  <c r="GV60" i="1"/>
  <c r="GX60" i="1"/>
  <c r="HC60" i="1"/>
  <c r="B62" i="1"/>
  <c r="B33" i="1" s="1"/>
  <c r="C62" i="1"/>
  <c r="C33" i="1" s="1"/>
  <c r="D62" i="1"/>
  <c r="D33" i="1" s="1"/>
  <c r="F62" i="1"/>
  <c r="F33" i="1" s="1"/>
  <c r="G62" i="1"/>
  <c r="G33" i="1" s="1"/>
  <c r="BC62" i="1"/>
  <c r="BC33" i="1" s="1"/>
  <c r="BX62" i="1"/>
  <c r="BX33" i="1" s="1"/>
  <c r="BY62" i="1"/>
  <c r="BY33" i="1" s="1"/>
  <c r="BZ62" i="1"/>
  <c r="BZ33" i="1" s="1"/>
  <c r="CD62" i="1"/>
  <c r="CD33" i="1" s="1"/>
  <c r="CK62" i="1"/>
  <c r="CK33" i="1" s="1"/>
  <c r="CL62" i="1"/>
  <c r="CL33" i="1" s="1"/>
  <c r="CM62" i="1"/>
  <c r="CM33" i="1" s="1"/>
  <c r="F78" i="1"/>
  <c r="D92" i="1"/>
  <c r="D94" i="1"/>
  <c r="E94" i="1"/>
  <c r="Z94" i="1"/>
  <c r="AA94" i="1"/>
  <c r="AM94" i="1"/>
  <c r="AN94" i="1"/>
  <c r="BE94" i="1"/>
  <c r="BF94" i="1"/>
  <c r="BG94" i="1"/>
  <c r="BH94" i="1"/>
  <c r="BI94" i="1"/>
  <c r="BJ94" i="1"/>
  <c r="BK94" i="1"/>
  <c r="BL94" i="1"/>
  <c r="BM94" i="1"/>
  <c r="BN94" i="1"/>
  <c r="BO94" i="1"/>
  <c r="BP94" i="1"/>
  <c r="BQ94" i="1"/>
  <c r="BR94" i="1"/>
  <c r="BS94" i="1"/>
  <c r="BT94" i="1"/>
  <c r="BU94" i="1"/>
  <c r="BV94" i="1"/>
  <c r="BW94" i="1"/>
  <c r="CN94" i="1"/>
  <c r="CO94" i="1"/>
  <c r="CP94" i="1"/>
  <c r="CQ94" i="1"/>
  <c r="CR94" i="1"/>
  <c r="CS94" i="1"/>
  <c r="CT94" i="1"/>
  <c r="CU94" i="1"/>
  <c r="CV94" i="1"/>
  <c r="CW94" i="1"/>
  <c r="CX94" i="1"/>
  <c r="CY94" i="1"/>
  <c r="CZ94" i="1"/>
  <c r="DA94" i="1"/>
  <c r="DB94" i="1"/>
  <c r="DC94" i="1"/>
  <c r="DD94" i="1"/>
  <c r="DE94" i="1"/>
  <c r="DF94" i="1"/>
  <c r="DG94" i="1"/>
  <c r="DH94" i="1"/>
  <c r="DI94" i="1"/>
  <c r="DJ94" i="1"/>
  <c r="DK94" i="1"/>
  <c r="DL94" i="1"/>
  <c r="DM94" i="1"/>
  <c r="DN94" i="1"/>
  <c r="DO94" i="1"/>
  <c r="DP94" i="1"/>
  <c r="DQ94" i="1"/>
  <c r="DR94" i="1"/>
  <c r="DS94" i="1"/>
  <c r="DT94" i="1"/>
  <c r="DU94" i="1"/>
  <c r="DV94" i="1"/>
  <c r="DW94" i="1"/>
  <c r="DX94" i="1"/>
  <c r="DY94" i="1"/>
  <c r="DZ94" i="1"/>
  <c r="EA94" i="1"/>
  <c r="EB94" i="1"/>
  <c r="EC94" i="1"/>
  <c r="ED94" i="1"/>
  <c r="EE94" i="1"/>
  <c r="EF94" i="1"/>
  <c r="EG94" i="1"/>
  <c r="EH94" i="1"/>
  <c r="EI94" i="1"/>
  <c r="EJ94" i="1"/>
  <c r="EK94" i="1"/>
  <c r="EL94" i="1"/>
  <c r="EM94" i="1"/>
  <c r="EN94" i="1"/>
  <c r="EO94" i="1"/>
  <c r="EP94" i="1"/>
  <c r="EQ94" i="1"/>
  <c r="ER94" i="1"/>
  <c r="ES94" i="1"/>
  <c r="ET94" i="1"/>
  <c r="EU94" i="1"/>
  <c r="EV94" i="1"/>
  <c r="EW94" i="1"/>
  <c r="EX94" i="1"/>
  <c r="EY94" i="1"/>
  <c r="EZ94" i="1"/>
  <c r="FA94" i="1"/>
  <c r="FB94" i="1"/>
  <c r="FC94" i="1"/>
  <c r="FD94" i="1"/>
  <c r="FE94" i="1"/>
  <c r="FF94" i="1"/>
  <c r="FG94" i="1"/>
  <c r="FH94" i="1"/>
  <c r="FI94" i="1"/>
  <c r="FJ94" i="1"/>
  <c r="FK94" i="1"/>
  <c r="FL94" i="1"/>
  <c r="FM94" i="1"/>
  <c r="FN94" i="1"/>
  <c r="FO94" i="1"/>
  <c r="FP94" i="1"/>
  <c r="FQ94" i="1"/>
  <c r="FR94" i="1"/>
  <c r="FS94" i="1"/>
  <c r="FT94" i="1"/>
  <c r="FU94" i="1"/>
  <c r="FV94" i="1"/>
  <c r="FW94" i="1"/>
  <c r="FX94" i="1"/>
  <c r="FY94" i="1"/>
  <c r="FZ94" i="1"/>
  <c r="GA94" i="1"/>
  <c r="GB94" i="1"/>
  <c r="GC94" i="1"/>
  <c r="GD94" i="1"/>
  <c r="GE94" i="1"/>
  <c r="GF94" i="1"/>
  <c r="GG94" i="1"/>
  <c r="GH94" i="1"/>
  <c r="GI94" i="1"/>
  <c r="GJ94" i="1"/>
  <c r="GK94" i="1"/>
  <c r="GL94" i="1"/>
  <c r="GM94" i="1"/>
  <c r="GN94" i="1"/>
  <c r="GO94" i="1"/>
  <c r="GP94" i="1"/>
  <c r="GQ94" i="1"/>
  <c r="GR94" i="1"/>
  <c r="GS94" i="1"/>
  <c r="GT94" i="1"/>
  <c r="GU94" i="1"/>
  <c r="GV94" i="1"/>
  <c r="GW94" i="1"/>
  <c r="GX94" i="1"/>
  <c r="I96" i="1"/>
  <c r="GY96" i="1" s="1"/>
  <c r="K96" i="1"/>
  <c r="Q96" i="1"/>
  <c r="S96" i="1"/>
  <c r="CY96" i="1" s="1"/>
  <c r="X96" i="1" s="1"/>
  <c r="AC96" i="1"/>
  <c r="P96" i="1" s="1"/>
  <c r="GM96" i="1" s="1"/>
  <c r="AE96" i="1"/>
  <c r="AF96" i="1"/>
  <c r="AG96" i="1"/>
  <c r="CU96" i="1" s="1"/>
  <c r="T96" i="1" s="1"/>
  <c r="AH96" i="1"/>
  <c r="AI96" i="1"/>
  <c r="CW96" i="1" s="1"/>
  <c r="AJ96" i="1"/>
  <c r="CR96" i="1"/>
  <c r="CT96" i="1"/>
  <c r="CV96" i="1"/>
  <c r="U96" i="1" s="1"/>
  <c r="CX96" i="1"/>
  <c r="W96" i="1" s="1"/>
  <c r="CZ96" i="1"/>
  <c r="Y96" i="1" s="1"/>
  <c r="FR96" i="1"/>
  <c r="GL96" i="1"/>
  <c r="GN96" i="1"/>
  <c r="GP96" i="1"/>
  <c r="CD111" i="1" s="1"/>
  <c r="GV96" i="1"/>
  <c r="GX96" i="1"/>
  <c r="GZ96" i="1"/>
  <c r="HC96" i="1"/>
  <c r="I97" i="1"/>
  <c r="K97" i="1"/>
  <c r="Q97" i="1"/>
  <c r="S97" i="1"/>
  <c r="CY97" i="1" s="1"/>
  <c r="X97" i="1" s="1"/>
  <c r="Y97" i="1"/>
  <c r="AC97" i="1"/>
  <c r="AE97" i="1"/>
  <c r="AF97" i="1"/>
  <c r="AG97" i="1"/>
  <c r="CU97" i="1" s="1"/>
  <c r="T97" i="1" s="1"/>
  <c r="AH97" i="1"/>
  <c r="AI97" i="1"/>
  <c r="CW97" i="1" s="1"/>
  <c r="V97" i="1" s="1"/>
  <c r="AJ97" i="1"/>
  <c r="CT97" i="1"/>
  <c r="CV97" i="1"/>
  <c r="U97" i="1" s="1"/>
  <c r="CX97" i="1"/>
  <c r="W97" i="1" s="1"/>
  <c r="CZ97" i="1"/>
  <c r="FR97" i="1"/>
  <c r="GL97" i="1"/>
  <c r="GN97" i="1"/>
  <c r="GP97" i="1"/>
  <c r="GV97" i="1"/>
  <c r="HC97" i="1"/>
  <c r="GX97" i="1" s="1"/>
  <c r="I98" i="1"/>
  <c r="K98" i="1"/>
  <c r="P98" i="1"/>
  <c r="CP98" i="1" s="1"/>
  <c r="O98" i="1" s="1"/>
  <c r="Q98" i="1"/>
  <c r="R98" i="1"/>
  <c r="S98" i="1"/>
  <c r="V98" i="1"/>
  <c r="X98" i="1"/>
  <c r="AB98" i="1"/>
  <c r="AC98" i="1"/>
  <c r="AD98" i="1"/>
  <c r="AE98" i="1"/>
  <c r="AF98" i="1"/>
  <c r="AG98" i="1"/>
  <c r="AH98" i="1"/>
  <c r="CV98" i="1" s="1"/>
  <c r="U98" i="1" s="1"/>
  <c r="AI98" i="1"/>
  <c r="AJ98" i="1"/>
  <c r="CX98" i="1" s="1"/>
  <c r="W98" i="1" s="1"/>
  <c r="CQ98" i="1"/>
  <c r="CR98" i="1"/>
  <c r="CS98" i="1"/>
  <c r="CU98" i="1"/>
  <c r="T98" i="1" s="1"/>
  <c r="CW98" i="1"/>
  <c r="CY98" i="1"/>
  <c r="CZ98" i="1"/>
  <c r="Y98" i="1" s="1"/>
  <c r="FR98" i="1"/>
  <c r="GL98" i="1"/>
  <c r="GN98" i="1"/>
  <c r="GP98" i="1"/>
  <c r="GV98" i="1"/>
  <c r="GY98" i="1"/>
  <c r="HC98" i="1"/>
  <c r="GX98" i="1" s="1"/>
  <c r="I99" i="1"/>
  <c r="K99" i="1"/>
  <c r="P99" i="1"/>
  <c r="R99" i="1"/>
  <c r="GK99" i="1" s="1"/>
  <c r="V99" i="1"/>
  <c r="AC99" i="1"/>
  <c r="AD99" i="1"/>
  <c r="AE99" i="1"/>
  <c r="Q99" i="1" s="1"/>
  <c r="AF99" i="1"/>
  <c r="AG99" i="1"/>
  <c r="AH99" i="1"/>
  <c r="CV99" i="1" s="1"/>
  <c r="U99" i="1" s="1"/>
  <c r="AI99" i="1"/>
  <c r="AJ99" i="1"/>
  <c r="CX99" i="1" s="1"/>
  <c r="W99" i="1" s="1"/>
  <c r="CQ99" i="1"/>
  <c r="CR99" i="1"/>
  <c r="CS99" i="1"/>
  <c r="CU99" i="1"/>
  <c r="T99" i="1" s="1"/>
  <c r="CW99" i="1"/>
  <c r="FR99" i="1"/>
  <c r="GL99" i="1"/>
  <c r="GN99" i="1"/>
  <c r="GP99" i="1"/>
  <c r="GV99" i="1"/>
  <c r="HC99" i="1" s="1"/>
  <c r="GX99" i="1"/>
  <c r="I100" i="1"/>
  <c r="K100" i="1"/>
  <c r="Q100" i="1"/>
  <c r="S100" i="1"/>
  <c r="CY100" i="1" s="1"/>
  <c r="X100" i="1" s="1"/>
  <c r="Y100" i="1"/>
  <c r="AC100" i="1"/>
  <c r="AE100" i="1"/>
  <c r="AF100" i="1"/>
  <c r="AG100" i="1"/>
  <c r="CU100" i="1" s="1"/>
  <c r="T100" i="1" s="1"/>
  <c r="AH100" i="1"/>
  <c r="AI100" i="1"/>
  <c r="CW100" i="1" s="1"/>
  <c r="V100" i="1" s="1"/>
  <c r="AJ100" i="1"/>
  <c r="CT100" i="1"/>
  <c r="CV100" i="1"/>
  <c r="U100" i="1" s="1"/>
  <c r="CX100" i="1"/>
  <c r="W100" i="1" s="1"/>
  <c r="CZ100" i="1"/>
  <c r="FR100" i="1"/>
  <c r="GL100" i="1"/>
  <c r="GN100" i="1"/>
  <c r="GP100" i="1"/>
  <c r="GV100" i="1"/>
  <c r="GX100" i="1"/>
  <c r="GZ100" i="1"/>
  <c r="HC100" i="1"/>
  <c r="I101" i="1"/>
  <c r="Q101" i="1" s="1"/>
  <c r="K101" i="1"/>
  <c r="S101" i="1"/>
  <c r="CY101" i="1" s="1"/>
  <c r="X101" i="1" s="1"/>
  <c r="W101" i="1"/>
  <c r="AC101" i="1"/>
  <c r="AE101" i="1"/>
  <c r="AF101" i="1"/>
  <c r="AG101" i="1"/>
  <c r="CU101" i="1" s="1"/>
  <c r="AH101" i="1"/>
  <c r="AI101" i="1"/>
  <c r="CW101" i="1" s="1"/>
  <c r="V101" i="1" s="1"/>
  <c r="AJ101" i="1"/>
  <c r="CT101" i="1"/>
  <c r="CV101" i="1"/>
  <c r="U101" i="1" s="1"/>
  <c r="CX101" i="1"/>
  <c r="CZ101" i="1"/>
  <c r="Y101" i="1" s="1"/>
  <c r="FR101" i="1"/>
  <c r="GL101" i="1"/>
  <c r="GN101" i="1"/>
  <c r="GP101" i="1"/>
  <c r="GV101" i="1"/>
  <c r="HC101" i="1"/>
  <c r="GX101" i="1" s="1"/>
  <c r="P102" i="1"/>
  <c r="R102" i="1"/>
  <c r="GK102" i="1" s="1"/>
  <c r="T102" i="1"/>
  <c r="V102" i="1"/>
  <c r="AC102" i="1"/>
  <c r="AD102" i="1"/>
  <c r="AB102" i="1" s="1"/>
  <c r="AE102" i="1"/>
  <c r="Q102" i="1" s="1"/>
  <c r="AF102" i="1"/>
  <c r="AG102" i="1"/>
  <c r="AH102" i="1"/>
  <c r="CV102" i="1" s="1"/>
  <c r="U102" i="1" s="1"/>
  <c r="AI102" i="1"/>
  <c r="AJ102" i="1"/>
  <c r="CX102" i="1" s="1"/>
  <c r="W102" i="1" s="1"/>
  <c r="CQ102" i="1"/>
  <c r="CR102" i="1"/>
  <c r="CS102" i="1"/>
  <c r="CU102" i="1"/>
  <c r="CW102" i="1"/>
  <c r="FR102" i="1"/>
  <c r="GL102" i="1"/>
  <c r="GN102" i="1"/>
  <c r="GP102" i="1"/>
  <c r="GV102" i="1"/>
  <c r="HC102" i="1" s="1"/>
  <c r="GX102" i="1" s="1"/>
  <c r="Q103" i="1"/>
  <c r="S103" i="1"/>
  <c r="CY103" i="1" s="1"/>
  <c r="X103" i="1" s="1"/>
  <c r="AC103" i="1"/>
  <c r="AE103" i="1"/>
  <c r="AF103" i="1"/>
  <c r="AG103" i="1"/>
  <c r="CU103" i="1" s="1"/>
  <c r="T103" i="1" s="1"/>
  <c r="AH103" i="1"/>
  <c r="AI103" i="1"/>
  <c r="CW103" i="1" s="1"/>
  <c r="V103" i="1" s="1"/>
  <c r="AJ103" i="1"/>
  <c r="CR103" i="1"/>
  <c r="CT103" i="1"/>
  <c r="CV103" i="1"/>
  <c r="U103" i="1" s="1"/>
  <c r="CX103" i="1"/>
  <c r="W103" i="1" s="1"/>
  <c r="CZ103" i="1"/>
  <c r="Y103" i="1" s="1"/>
  <c r="FR103" i="1"/>
  <c r="GL103" i="1"/>
  <c r="GN103" i="1"/>
  <c r="GP103" i="1"/>
  <c r="GV103" i="1"/>
  <c r="HC103" i="1" s="1"/>
  <c r="GX103" i="1" s="1"/>
  <c r="P104" i="1"/>
  <c r="R104" i="1"/>
  <c r="GK104" i="1" s="1"/>
  <c r="T104" i="1"/>
  <c r="AC104" i="1"/>
  <c r="AD104" i="1"/>
  <c r="AE104" i="1"/>
  <c r="Q104" i="1" s="1"/>
  <c r="AF104" i="1"/>
  <c r="AG104" i="1"/>
  <c r="AH104" i="1"/>
  <c r="CV104" i="1" s="1"/>
  <c r="U104" i="1" s="1"/>
  <c r="AI104" i="1"/>
  <c r="AJ104" i="1"/>
  <c r="CX104" i="1" s="1"/>
  <c r="W104" i="1" s="1"/>
  <c r="CQ104" i="1"/>
  <c r="CR104" i="1"/>
  <c r="CS104" i="1"/>
  <c r="CU104" i="1"/>
  <c r="CW104" i="1"/>
  <c r="V104" i="1" s="1"/>
  <c r="FR104" i="1"/>
  <c r="GL104" i="1"/>
  <c r="GN104" i="1"/>
  <c r="GP104" i="1"/>
  <c r="GV104" i="1"/>
  <c r="GX104" i="1"/>
  <c r="HC104" i="1"/>
  <c r="I105" i="1"/>
  <c r="K105" i="1"/>
  <c r="Q105" i="1"/>
  <c r="S105" i="1"/>
  <c r="CY105" i="1" s="1"/>
  <c r="X105" i="1" s="1"/>
  <c r="Y105" i="1"/>
  <c r="AC105" i="1"/>
  <c r="AE105" i="1"/>
  <c r="AF105" i="1"/>
  <c r="AG105" i="1"/>
  <c r="CU105" i="1" s="1"/>
  <c r="T105" i="1" s="1"/>
  <c r="AH105" i="1"/>
  <c r="AI105" i="1"/>
  <c r="CW105" i="1" s="1"/>
  <c r="V105" i="1" s="1"/>
  <c r="AJ105" i="1"/>
  <c r="CR105" i="1"/>
  <c r="CT105" i="1"/>
  <c r="CV105" i="1"/>
  <c r="U105" i="1" s="1"/>
  <c r="CX105" i="1"/>
  <c r="W105" i="1" s="1"/>
  <c r="CZ105" i="1"/>
  <c r="FR105" i="1"/>
  <c r="GL105" i="1"/>
  <c r="GN105" i="1"/>
  <c r="GP105" i="1"/>
  <c r="GV105" i="1"/>
  <c r="HC105" i="1" s="1"/>
  <c r="GX105" i="1" s="1"/>
  <c r="P106" i="1"/>
  <c r="R106" i="1"/>
  <c r="GK106" i="1" s="1"/>
  <c r="AC106" i="1"/>
  <c r="AD106" i="1"/>
  <c r="AE106" i="1"/>
  <c r="Q106" i="1" s="1"/>
  <c r="AF106" i="1"/>
  <c r="AG106" i="1"/>
  <c r="AH106" i="1"/>
  <c r="CV106" i="1" s="1"/>
  <c r="U106" i="1" s="1"/>
  <c r="AI106" i="1"/>
  <c r="AJ106" i="1"/>
  <c r="CX106" i="1" s="1"/>
  <c r="W106" i="1" s="1"/>
  <c r="CQ106" i="1"/>
  <c r="CR106" i="1"/>
  <c r="CS106" i="1"/>
  <c r="CU106" i="1"/>
  <c r="T106" i="1" s="1"/>
  <c r="CW106" i="1"/>
  <c r="V106" i="1" s="1"/>
  <c r="FR106" i="1"/>
  <c r="GL106" i="1"/>
  <c r="BZ111" i="1" s="1"/>
  <c r="GN106" i="1"/>
  <c r="GP106" i="1"/>
  <c r="GV106" i="1"/>
  <c r="GX106" i="1"/>
  <c r="HC106" i="1"/>
  <c r="Q107" i="1"/>
  <c r="S107" i="1"/>
  <c r="CY107" i="1" s="1"/>
  <c r="X107" i="1" s="1"/>
  <c r="U107" i="1"/>
  <c r="AC107" i="1"/>
  <c r="AE107" i="1"/>
  <c r="AF107" i="1"/>
  <c r="AG107" i="1"/>
  <c r="CU107" i="1" s="1"/>
  <c r="T107" i="1" s="1"/>
  <c r="AH107" i="1"/>
  <c r="AI107" i="1"/>
  <c r="CW107" i="1" s="1"/>
  <c r="V107" i="1" s="1"/>
  <c r="AJ107" i="1"/>
  <c r="CR107" i="1"/>
  <c r="CT107" i="1"/>
  <c r="CV107" i="1"/>
  <c r="CX107" i="1"/>
  <c r="W107" i="1" s="1"/>
  <c r="CZ107" i="1"/>
  <c r="Y107" i="1" s="1"/>
  <c r="FR107" i="1"/>
  <c r="GL107" i="1"/>
  <c r="GN107" i="1"/>
  <c r="GP107" i="1"/>
  <c r="GV107" i="1"/>
  <c r="HC107" i="1" s="1"/>
  <c r="GX107" i="1" s="1"/>
  <c r="I108" i="1"/>
  <c r="K108" i="1"/>
  <c r="P108" i="1"/>
  <c r="R108" i="1"/>
  <c r="GK108" i="1" s="1"/>
  <c r="V108" i="1"/>
  <c r="AC108" i="1"/>
  <c r="AD108" i="1"/>
  <c r="AB108" i="1" s="1"/>
  <c r="AE108" i="1"/>
  <c r="Q108" i="1" s="1"/>
  <c r="AF108" i="1"/>
  <c r="AG108" i="1"/>
  <c r="AH108" i="1"/>
  <c r="CV108" i="1" s="1"/>
  <c r="U108" i="1" s="1"/>
  <c r="AI108" i="1"/>
  <c r="AJ108" i="1"/>
  <c r="CX108" i="1" s="1"/>
  <c r="W108" i="1" s="1"/>
  <c r="CQ108" i="1"/>
  <c r="CR108" i="1"/>
  <c r="CS108" i="1"/>
  <c r="CU108" i="1"/>
  <c r="T108" i="1" s="1"/>
  <c r="CW108" i="1"/>
  <c r="FR108" i="1"/>
  <c r="GL108" i="1"/>
  <c r="GO108" i="1"/>
  <c r="GP108" i="1"/>
  <c r="GV108" i="1"/>
  <c r="HC108" i="1" s="1"/>
  <c r="GX108" i="1" s="1"/>
  <c r="I109" i="1"/>
  <c r="W109" i="1" s="1"/>
  <c r="K109" i="1"/>
  <c r="S109" i="1"/>
  <c r="CY109" i="1" s="1"/>
  <c r="X109" i="1" s="1"/>
  <c r="U109" i="1"/>
  <c r="AC109" i="1"/>
  <c r="AE109" i="1"/>
  <c r="CR109" i="1" s="1"/>
  <c r="AF109" i="1"/>
  <c r="AG109" i="1"/>
  <c r="CU109" i="1" s="1"/>
  <c r="AH109" i="1"/>
  <c r="AI109" i="1"/>
  <c r="CW109" i="1" s="1"/>
  <c r="V109" i="1" s="1"/>
  <c r="AJ109" i="1"/>
  <c r="CT109" i="1"/>
  <c r="CV109" i="1"/>
  <c r="CX109" i="1"/>
  <c r="CZ109" i="1"/>
  <c r="Y109" i="1" s="1"/>
  <c r="FR109" i="1"/>
  <c r="GL109" i="1"/>
  <c r="GO109" i="1"/>
  <c r="GP109" i="1"/>
  <c r="GV109" i="1"/>
  <c r="HC109" i="1"/>
  <c r="GX109" i="1" s="1"/>
  <c r="B111" i="1"/>
  <c r="B94" i="1" s="1"/>
  <c r="C111" i="1"/>
  <c r="C94" i="1" s="1"/>
  <c r="D111" i="1"/>
  <c r="F111" i="1"/>
  <c r="F94" i="1" s="1"/>
  <c r="G111" i="1"/>
  <c r="G94" i="1" s="1"/>
  <c r="BX111" i="1"/>
  <c r="BX94" i="1" s="1"/>
  <c r="CM111" i="1"/>
  <c r="BD111" i="1" s="1"/>
  <c r="BD94" i="1" s="1"/>
  <c r="F136" i="1"/>
  <c r="B141" i="1"/>
  <c r="B29" i="1" s="1"/>
  <c r="C141" i="1"/>
  <c r="C29" i="1" s="1"/>
  <c r="D141" i="1"/>
  <c r="D29" i="1" s="1"/>
  <c r="F141" i="1"/>
  <c r="F29" i="1" s="1"/>
  <c r="G141" i="1"/>
  <c r="G29" i="1" s="1"/>
  <c r="B171" i="1"/>
  <c r="B22" i="1" s="1"/>
  <c r="C171" i="1"/>
  <c r="C22" i="1" s="1"/>
  <c r="D171" i="1"/>
  <c r="D22" i="1" s="1"/>
  <c r="F171" i="1"/>
  <c r="F22" i="1" s="1"/>
  <c r="G171" i="1"/>
  <c r="G22" i="1" s="1"/>
  <c r="B201" i="1"/>
  <c r="B18" i="1" s="1"/>
  <c r="C201" i="1"/>
  <c r="C18" i="1" s="1"/>
  <c r="D201" i="1"/>
  <c r="D18" i="1" s="1"/>
  <c r="F201" i="1"/>
  <c r="F18" i="1" s="1"/>
  <c r="G201" i="1"/>
  <c r="G18" i="1" s="1"/>
  <c r="P45" i="6" l="1"/>
  <c r="J67" i="6"/>
  <c r="O112" i="6"/>
  <c r="H142" i="6"/>
  <c r="K182" i="6"/>
  <c r="H213" i="6"/>
  <c r="X251" i="6"/>
  <c r="H58" i="6"/>
  <c r="O70" i="6"/>
  <c r="O73" i="6"/>
  <c r="X112" i="6"/>
  <c r="H118" i="6"/>
  <c r="P145" i="6"/>
  <c r="J172" i="6"/>
  <c r="H186" i="6"/>
  <c r="J202" i="6"/>
  <c r="J213" i="6"/>
  <c r="H225" i="6"/>
  <c r="Y237" i="6"/>
  <c r="J12" i="6"/>
  <c r="I18" i="6"/>
  <c r="X58" i="6"/>
  <c r="X83" i="6"/>
  <c r="I93" i="6"/>
  <c r="O96" i="6" s="1"/>
  <c r="K94" i="6"/>
  <c r="J99" i="6"/>
  <c r="X118" i="6"/>
  <c r="P130" i="6"/>
  <c r="O130" i="6"/>
  <c r="J142" i="6"/>
  <c r="H148" i="6"/>
  <c r="P151" i="6"/>
  <c r="AD186" i="6"/>
  <c r="I182" i="6"/>
  <c r="J194" i="6"/>
  <c r="Y202" i="6"/>
  <c r="P202" i="6"/>
  <c r="K198" i="6"/>
  <c r="J240" i="6"/>
  <c r="O255" i="6"/>
  <c r="O55" i="6"/>
  <c r="K106" i="6"/>
  <c r="X148" i="6"/>
  <c r="J186" i="6"/>
  <c r="Y194" i="6"/>
  <c r="P194" i="6"/>
  <c r="K190" i="6"/>
  <c r="H202" i="6"/>
  <c r="O243" i="6"/>
  <c r="P83" i="6"/>
  <c r="P109" i="6"/>
  <c r="P67" i="6"/>
  <c r="J83" i="6"/>
  <c r="O45" i="6"/>
  <c r="H172" i="6"/>
  <c r="P237" i="6"/>
  <c r="H55" i="6"/>
  <c r="H83" i="6"/>
  <c r="P86" i="6"/>
  <c r="K93" i="6"/>
  <c r="P96" i="6" s="1"/>
  <c r="W90" i="6"/>
  <c r="W102" i="6"/>
  <c r="J115" i="6"/>
  <c r="P142" i="6"/>
  <c r="H151" i="6"/>
  <c r="X151" i="6"/>
  <c r="O151" i="6"/>
  <c r="P172" i="6"/>
  <c r="Y213" i="6"/>
  <c r="P213" i="6"/>
  <c r="J222" i="6"/>
  <c r="H96" i="6"/>
  <c r="O67" i="6"/>
  <c r="H67" i="6"/>
  <c r="H86" i="6"/>
  <c r="X96" i="6"/>
  <c r="J130" i="6"/>
  <c r="X161" i="6"/>
  <c r="W155" i="6"/>
  <c r="H161" i="6"/>
  <c r="O161" i="6"/>
  <c r="J237" i="6"/>
  <c r="O237" i="6"/>
  <c r="J251" i="6"/>
  <c r="P251" i="6"/>
  <c r="X45" i="6"/>
  <c r="I15" i="6"/>
  <c r="J45" i="6"/>
  <c r="H45" i="6"/>
  <c r="I16" i="6"/>
  <c r="K53" i="6"/>
  <c r="J55" i="6" s="1"/>
  <c r="X55" i="6"/>
  <c r="W62" i="6"/>
  <c r="X67" i="6"/>
  <c r="H70" i="6"/>
  <c r="J73" i="6"/>
  <c r="O83" i="6"/>
  <c r="O86" i="6"/>
  <c r="H99" i="6"/>
  <c r="I106" i="6"/>
  <c r="O109" i="6" s="1"/>
  <c r="J109" i="6"/>
  <c r="J112" i="6"/>
  <c r="O115" i="6"/>
  <c r="X130" i="6"/>
  <c r="O142" i="6"/>
  <c r="W134" i="6"/>
  <c r="X142" i="6"/>
  <c r="X145" i="6"/>
  <c r="H145" i="6"/>
  <c r="O145" i="6"/>
  <c r="K158" i="6"/>
  <c r="P161" i="6" s="1"/>
  <c r="O172" i="6"/>
  <c r="W165" i="6"/>
  <c r="J259" i="6"/>
  <c r="J271" i="6"/>
  <c r="J267" i="6"/>
  <c r="J263" i="6"/>
  <c r="P222" i="6"/>
  <c r="H237" i="6"/>
  <c r="H130" i="6"/>
  <c r="AC186" i="6"/>
  <c r="AC194" i="6"/>
  <c r="AC202" i="6"/>
  <c r="O213" i="6"/>
  <c r="H222" i="6"/>
  <c r="O225" i="6"/>
  <c r="O240" i="6"/>
  <c r="J243" i="6"/>
  <c r="H251" i="6"/>
  <c r="H255" i="6"/>
  <c r="O222" i="6"/>
  <c r="Y243" i="6"/>
  <c r="O251" i="6"/>
  <c r="O186" i="6"/>
  <c r="O194" i="6"/>
  <c r="O202" i="6"/>
  <c r="W205" i="6"/>
  <c r="W247" i="6"/>
  <c r="AH111" i="1"/>
  <c r="CJ111" i="1"/>
  <c r="CD94" i="1"/>
  <c r="AU111" i="1"/>
  <c r="BZ94" i="1"/>
  <c r="AQ111" i="1"/>
  <c r="S106" i="1"/>
  <c r="CT106" i="1"/>
  <c r="AB106" i="1"/>
  <c r="BY111" i="1"/>
  <c r="CT98" i="1"/>
  <c r="GZ98" i="1"/>
  <c r="CL111" i="1" s="1"/>
  <c r="P109" i="1"/>
  <c r="CQ109" i="1"/>
  <c r="CP106" i="1"/>
  <c r="O106" i="1" s="1"/>
  <c r="S104" i="1"/>
  <c r="CT104" i="1"/>
  <c r="AB104" i="1"/>
  <c r="R101" i="1"/>
  <c r="GK101" i="1" s="1"/>
  <c r="CS101" i="1"/>
  <c r="AD101" i="1"/>
  <c r="AJ111" i="1"/>
  <c r="CP96" i="1"/>
  <c r="O96" i="1" s="1"/>
  <c r="AD109" i="1"/>
  <c r="AB109" i="1" s="1"/>
  <c r="R109" i="1"/>
  <c r="GK109" i="1" s="1"/>
  <c r="CS109" i="1"/>
  <c r="P103" i="1"/>
  <c r="CP103" i="1" s="1"/>
  <c r="O103" i="1" s="1"/>
  <c r="GM103" i="1" s="1"/>
  <c r="GO103" i="1" s="1"/>
  <c r="CQ103" i="1"/>
  <c r="S99" i="1"/>
  <c r="CT99" i="1"/>
  <c r="AB99" i="1"/>
  <c r="CZ60" i="1"/>
  <c r="Y60" i="1" s="1"/>
  <c r="CY60" i="1"/>
  <c r="X60" i="1" s="1"/>
  <c r="T109" i="1"/>
  <c r="AG111" i="1" s="1"/>
  <c r="Q109" i="1"/>
  <c r="AD111" i="1" s="1"/>
  <c r="AD105" i="1"/>
  <c r="R105" i="1"/>
  <c r="GK105" i="1" s="1"/>
  <c r="CS105" i="1"/>
  <c r="CP104" i="1"/>
  <c r="O104" i="1" s="1"/>
  <c r="CR101" i="1"/>
  <c r="AB101" i="1"/>
  <c r="P101" i="1"/>
  <c r="CP101" i="1" s="1"/>
  <c r="O101" i="1" s="1"/>
  <c r="GM101" i="1" s="1"/>
  <c r="GO101" i="1" s="1"/>
  <c r="CQ101" i="1"/>
  <c r="R100" i="1"/>
  <c r="CS100" i="1"/>
  <c r="AD100" i="1"/>
  <c r="AD97" i="1"/>
  <c r="R97" i="1"/>
  <c r="GK97" i="1" s="1"/>
  <c r="CS97" i="1"/>
  <c r="CM94" i="1"/>
  <c r="AU62" i="1"/>
  <c r="AO111" i="1"/>
  <c r="AB107" i="1"/>
  <c r="P107" i="1"/>
  <c r="CP107" i="1" s="1"/>
  <c r="O107" i="1" s="1"/>
  <c r="CQ107" i="1"/>
  <c r="GO96" i="1"/>
  <c r="CY59" i="1"/>
  <c r="X59" i="1" s="1"/>
  <c r="CZ59" i="1"/>
  <c r="Y59" i="1" s="1"/>
  <c r="CG111" i="1"/>
  <c r="S108" i="1"/>
  <c r="CP108" i="1" s="1"/>
  <c r="O108" i="1" s="1"/>
  <c r="CT108" i="1"/>
  <c r="R107" i="1"/>
  <c r="GK107" i="1" s="1"/>
  <c r="CS107" i="1"/>
  <c r="AD107" i="1"/>
  <c r="P105" i="1"/>
  <c r="CP105" i="1" s="1"/>
  <c r="O105" i="1" s="1"/>
  <c r="CQ105" i="1"/>
  <c r="AB105" i="1"/>
  <c r="AD103" i="1"/>
  <c r="AB103" i="1" s="1"/>
  <c r="R103" i="1"/>
  <c r="GK103" i="1" s="1"/>
  <c r="CS103" i="1"/>
  <c r="S102" i="1"/>
  <c r="CP102" i="1" s="1"/>
  <c r="O102" i="1" s="1"/>
  <c r="CT102" i="1"/>
  <c r="T101" i="1"/>
  <c r="CR100" i="1"/>
  <c r="AB100" i="1"/>
  <c r="P100" i="1"/>
  <c r="CQ100" i="1"/>
  <c r="GY100" i="1"/>
  <c r="CK111" i="1" s="1"/>
  <c r="CR97" i="1"/>
  <c r="P97" i="1"/>
  <c r="CP97" i="1" s="1"/>
  <c r="O97" i="1" s="1"/>
  <c r="GM97" i="1" s="1"/>
  <c r="GO97" i="1" s="1"/>
  <c r="CQ97" i="1"/>
  <c r="AB97" i="1"/>
  <c r="V96" i="1"/>
  <c r="AI111" i="1" s="1"/>
  <c r="AD96" i="1"/>
  <c r="R96" i="1"/>
  <c r="CS96" i="1"/>
  <c r="AQ62" i="1"/>
  <c r="AO62" i="1"/>
  <c r="P60" i="1"/>
  <c r="CP60" i="1" s="1"/>
  <c r="O60" i="1" s="1"/>
  <c r="P59" i="1"/>
  <c r="CP59" i="1" s="1"/>
  <c r="O59" i="1" s="1"/>
  <c r="GM59" i="1" s="1"/>
  <c r="GN59" i="1" s="1"/>
  <c r="CQ59" i="1"/>
  <c r="AB57" i="1"/>
  <c r="P54" i="1"/>
  <c r="CP54" i="1" s="1"/>
  <c r="O54" i="1" s="1"/>
  <c r="CQ54" i="1"/>
  <c r="CY52" i="1"/>
  <c r="X52" i="1" s="1"/>
  <c r="CZ52" i="1"/>
  <c r="Y52" i="1" s="1"/>
  <c r="GM51" i="1"/>
  <c r="GN51" i="1" s="1"/>
  <c r="S49" i="1"/>
  <c r="CT49" i="1"/>
  <c r="AB49" i="1"/>
  <c r="CP49" i="1"/>
  <c r="O49" i="1" s="1"/>
  <c r="CY44" i="1"/>
  <c r="X44" i="1" s="1"/>
  <c r="CZ44" i="1"/>
  <c r="Y44" i="1" s="1"/>
  <c r="AB96" i="1"/>
  <c r="CI62" i="1"/>
  <c r="BD62" i="1"/>
  <c r="AB60" i="1"/>
  <c r="AB59" i="1"/>
  <c r="R58" i="1"/>
  <c r="GK58" i="1" s="1"/>
  <c r="CS58" i="1"/>
  <c r="CP57" i="1"/>
  <c r="O57" i="1" s="1"/>
  <c r="GM57" i="1" s="1"/>
  <c r="GN57" i="1" s="1"/>
  <c r="AD56" i="1"/>
  <c r="R56" i="1"/>
  <c r="GK56" i="1" s="1"/>
  <c r="CS56" i="1"/>
  <c r="T54" i="1"/>
  <c r="GM53" i="1"/>
  <c r="GN53" i="1" s="1"/>
  <c r="R50" i="1"/>
  <c r="GK50" i="1" s="1"/>
  <c r="CS50" i="1"/>
  <c r="AD50" i="1"/>
  <c r="S46" i="1"/>
  <c r="Q45" i="1"/>
  <c r="R45" i="1"/>
  <c r="GK45" i="1" s="1"/>
  <c r="AD58" i="1"/>
  <c r="Q58" i="1"/>
  <c r="CR56" i="1"/>
  <c r="P56" i="1"/>
  <c r="CQ56" i="1"/>
  <c r="AB56" i="1"/>
  <c r="S55" i="1"/>
  <c r="CT55" i="1"/>
  <c r="P52" i="1"/>
  <c r="CQ52" i="1"/>
  <c r="AB52" i="1"/>
  <c r="AB50" i="1"/>
  <c r="Q50" i="1"/>
  <c r="CT48" i="1"/>
  <c r="S48" i="1"/>
  <c r="CP48" i="1" s="1"/>
  <c r="O48" i="1" s="1"/>
  <c r="AB48" i="1"/>
  <c r="U45" i="1"/>
  <c r="AH62" i="1" s="1"/>
  <c r="R42" i="1"/>
  <c r="GK42" i="1" s="1"/>
  <c r="CS42" i="1"/>
  <c r="AD42" i="1"/>
  <c r="AB42" i="1" s="1"/>
  <c r="CR42" i="1"/>
  <c r="CP40" i="1"/>
  <c r="O40" i="1" s="1"/>
  <c r="AF111" i="1"/>
  <c r="CQ96" i="1"/>
  <c r="CG62" i="1"/>
  <c r="BB62" i="1"/>
  <c r="AP62" i="1"/>
  <c r="R59" i="1"/>
  <c r="GK59" i="1" s="1"/>
  <c r="AB58" i="1"/>
  <c r="P58" i="1"/>
  <c r="CP58" i="1" s="1"/>
  <c r="O58" i="1" s="1"/>
  <c r="GM58" i="1" s="1"/>
  <c r="GN58" i="1" s="1"/>
  <c r="Q56" i="1"/>
  <c r="CP55" i="1"/>
  <c r="O55" i="1" s="1"/>
  <c r="V54" i="1"/>
  <c r="R54" i="1"/>
  <c r="GK54" i="1" s="1"/>
  <c r="CS54" i="1"/>
  <c r="AD54" i="1"/>
  <c r="AB54" i="1" s="1"/>
  <c r="CY51" i="1"/>
  <c r="X51" i="1" s="1"/>
  <c r="CR50" i="1"/>
  <c r="W45" i="1"/>
  <c r="CT53" i="1"/>
  <c r="CS52" i="1"/>
  <c r="R52" i="1"/>
  <c r="GK52" i="1" s="1"/>
  <c r="CT51" i="1"/>
  <c r="CQ50" i="1"/>
  <c r="P50" i="1"/>
  <c r="CP50" i="1" s="1"/>
  <c r="O50" i="1" s="1"/>
  <c r="S47" i="1"/>
  <c r="CT47" i="1"/>
  <c r="R46" i="1"/>
  <c r="GK46" i="1" s="1"/>
  <c r="T45" i="1"/>
  <c r="P45" i="1"/>
  <c r="CQ45" i="1"/>
  <c r="S45" i="1"/>
  <c r="GX44" i="1"/>
  <c r="T44" i="1"/>
  <c r="V44" i="1"/>
  <c r="R44" i="1"/>
  <c r="GK44" i="1" s="1"/>
  <c r="CS44" i="1"/>
  <c r="AD44" i="1"/>
  <c r="AB44" i="1" s="1"/>
  <c r="Q44" i="1"/>
  <c r="CY41" i="1"/>
  <c r="X41" i="1" s="1"/>
  <c r="P41" i="1"/>
  <c r="CP41" i="1" s="1"/>
  <c r="O41" i="1" s="1"/>
  <c r="GM41" i="1" s="1"/>
  <c r="GN41" i="1" s="1"/>
  <c r="AB41" i="1"/>
  <c r="Q52" i="1"/>
  <c r="P46" i="1"/>
  <c r="CQ46" i="1"/>
  <c r="CR47" i="1"/>
  <c r="AD47" i="1"/>
  <c r="AB47" i="1" s="1"/>
  <c r="AB46" i="1"/>
  <c r="CP44" i="1"/>
  <c r="O44" i="1" s="1"/>
  <c r="AB43" i="1"/>
  <c r="GM43" i="1"/>
  <c r="GN43" i="1" s="1"/>
  <c r="W42" i="1"/>
  <c r="S42" i="1"/>
  <c r="S40" i="1"/>
  <c r="CT40" i="1"/>
  <c r="AB40" i="1"/>
  <c r="P37" i="1"/>
  <c r="CQ37" i="1"/>
  <c r="AB37" i="1"/>
  <c r="CP35" i="1"/>
  <c r="O35" i="1" s="1"/>
  <c r="CT44" i="1"/>
  <c r="CS43" i="1"/>
  <c r="R43" i="1"/>
  <c r="GK43" i="1" s="1"/>
  <c r="CT42" i="1"/>
  <c r="CS41" i="1"/>
  <c r="CQ40" i="1"/>
  <c r="CQ39" i="1"/>
  <c r="P38" i="1"/>
  <c r="CP38" i="1" s="1"/>
  <c r="O38" i="1" s="1"/>
  <c r="CQ38" i="1"/>
  <c r="W36" i="1"/>
  <c r="AJ62" i="1" s="1"/>
  <c r="S36" i="1"/>
  <c r="R41" i="1"/>
  <c r="GK41" i="1" s="1"/>
  <c r="CY38" i="1"/>
  <c r="X38" i="1" s="1"/>
  <c r="CZ38" i="1"/>
  <c r="Y38" i="1" s="1"/>
  <c r="AB38" i="1"/>
  <c r="GX37" i="1"/>
  <c r="V37" i="1"/>
  <c r="R37" i="1"/>
  <c r="GK37" i="1" s="1"/>
  <c r="S37" i="1"/>
  <c r="V36" i="1"/>
  <c r="AI62" i="1" s="1"/>
  <c r="R36" i="1"/>
  <c r="GK36" i="1" s="1"/>
  <c r="CS36" i="1"/>
  <c r="AD36" i="1"/>
  <c r="AB36" i="1" s="1"/>
  <c r="Q36" i="1"/>
  <c r="CS39" i="1"/>
  <c r="R39" i="1"/>
  <c r="GK39" i="1" s="1"/>
  <c r="GM39" i="1" s="1"/>
  <c r="GN39" i="1" s="1"/>
  <c r="CS37" i="1"/>
  <c r="CQ36" i="1"/>
  <c r="CT35" i="1"/>
  <c r="CT36" i="1"/>
  <c r="CS35" i="1"/>
  <c r="R35" i="1"/>
  <c r="I17" i="6" l="1"/>
  <c r="J258" i="6"/>
  <c r="J161" i="6"/>
  <c r="H109" i="6"/>
  <c r="Y109" i="6"/>
  <c r="I14" i="6" s="1"/>
  <c r="J96" i="6"/>
  <c r="H258" i="6"/>
  <c r="I13" i="6"/>
  <c r="P55" i="6"/>
  <c r="H259" i="6"/>
  <c r="H271" i="6"/>
  <c r="H267" i="6"/>
  <c r="H263" i="6"/>
  <c r="H270" i="6"/>
  <c r="H266" i="6"/>
  <c r="H262" i="6"/>
  <c r="H175" i="6"/>
  <c r="AH33" i="1"/>
  <c r="U62" i="1"/>
  <c r="AD94" i="1"/>
  <c r="Q111" i="1"/>
  <c r="T111" i="1"/>
  <c r="AG94" i="1"/>
  <c r="CY47" i="1"/>
  <c r="X47" i="1" s="1"/>
  <c r="CZ47" i="1"/>
  <c r="Y47" i="1" s="1"/>
  <c r="BB111" i="1"/>
  <c r="CK94" i="1"/>
  <c r="CL94" i="1"/>
  <c r="BC111" i="1"/>
  <c r="AU94" i="1"/>
  <c r="F130" i="1"/>
  <c r="CP37" i="1"/>
  <c r="O37" i="1" s="1"/>
  <c r="AC62" i="1"/>
  <c r="CZ40" i="1"/>
  <c r="Y40" i="1" s="1"/>
  <c r="CY40" i="1"/>
  <c r="X40" i="1" s="1"/>
  <c r="GM40" i="1" s="1"/>
  <c r="GN40" i="1" s="1"/>
  <c r="CP46" i="1"/>
  <c r="O46" i="1" s="1"/>
  <c r="CY45" i="1"/>
  <c r="X45" i="1" s="1"/>
  <c r="CZ45" i="1"/>
  <c r="Y45" i="1" s="1"/>
  <c r="GM50" i="1"/>
  <c r="GN50" i="1" s="1"/>
  <c r="CG33" i="1"/>
  <c r="AX62" i="1"/>
  <c r="CP52" i="1"/>
  <c r="O52" i="1" s="1"/>
  <c r="GM52" i="1" s="1"/>
  <c r="GN52" i="1" s="1"/>
  <c r="GM60" i="1"/>
  <c r="GN60" i="1" s="1"/>
  <c r="AE111" i="1"/>
  <c r="GM105" i="1"/>
  <c r="GO105" i="1" s="1"/>
  <c r="AO94" i="1"/>
  <c r="F115" i="1"/>
  <c r="CZ99" i="1"/>
  <c r="Y99" i="1" s="1"/>
  <c r="CY99" i="1"/>
  <c r="X99" i="1" s="1"/>
  <c r="CZ104" i="1"/>
  <c r="Y104" i="1" s="1"/>
  <c r="GM104" i="1" s="1"/>
  <c r="GO104" i="1" s="1"/>
  <c r="CY104" i="1"/>
  <c r="X104" i="1" s="1"/>
  <c r="CP109" i="1"/>
  <c r="O109" i="1" s="1"/>
  <c r="GM109" i="1" s="1"/>
  <c r="GN109" i="1" s="1"/>
  <c r="CZ106" i="1"/>
  <c r="Y106" i="1" s="1"/>
  <c r="CY106" i="1"/>
  <c r="X106" i="1" s="1"/>
  <c r="AJ33" i="1"/>
  <c r="W62" i="1"/>
  <c r="CY46" i="1"/>
  <c r="X46" i="1" s="1"/>
  <c r="CZ46" i="1"/>
  <c r="Y46" i="1" s="1"/>
  <c r="CI33" i="1"/>
  <c r="AZ62" i="1"/>
  <c r="AD62" i="1"/>
  <c r="CJ62" i="1"/>
  <c r="GM38" i="1"/>
  <c r="GN38" i="1" s="1"/>
  <c r="CY42" i="1"/>
  <c r="X42" i="1" s="1"/>
  <c r="CZ42" i="1"/>
  <c r="Y42" i="1" s="1"/>
  <c r="GM44" i="1"/>
  <c r="GN44" i="1" s="1"/>
  <c r="CP36" i="1"/>
  <c r="O36" i="1" s="1"/>
  <c r="CP47" i="1"/>
  <c r="O47" i="1" s="1"/>
  <c r="GM47" i="1" s="1"/>
  <c r="GO47" i="1" s="1"/>
  <c r="CP56" i="1"/>
  <c r="O56" i="1" s="1"/>
  <c r="GM56" i="1" s="1"/>
  <c r="GN56" i="1" s="1"/>
  <c r="AO33" i="1"/>
  <c r="F66" i="1"/>
  <c r="AO141" i="1"/>
  <c r="GM100" i="1"/>
  <c r="GO100" i="1" s="1"/>
  <c r="CP100" i="1"/>
  <c r="O100" i="1" s="1"/>
  <c r="AB111" i="1" s="1"/>
  <c r="CZ108" i="1"/>
  <c r="Y108" i="1" s="1"/>
  <c r="GM108" i="1" s="1"/>
  <c r="GN108" i="1" s="1"/>
  <c r="CB111" i="1" s="1"/>
  <c r="CY108" i="1"/>
  <c r="X108" i="1" s="1"/>
  <c r="AU33" i="1"/>
  <c r="F81" i="1"/>
  <c r="AU141" i="1"/>
  <c r="AJ94" i="1"/>
  <c r="W111" i="1"/>
  <c r="GM106" i="1"/>
  <c r="GO106" i="1" s="1"/>
  <c r="AC111" i="1"/>
  <c r="AP111" i="1"/>
  <c r="BY94" i="1"/>
  <c r="CI111" i="1"/>
  <c r="AQ94" i="1"/>
  <c r="F121" i="1"/>
  <c r="CJ94" i="1"/>
  <c r="BA111" i="1"/>
  <c r="GM98" i="1"/>
  <c r="BB33" i="1"/>
  <c r="F75" i="1"/>
  <c r="BB141" i="1"/>
  <c r="GM54" i="1"/>
  <c r="GN54" i="1" s="1"/>
  <c r="GK35" i="1"/>
  <c r="GM35" i="1" s="1"/>
  <c r="AE62" i="1"/>
  <c r="AI33" i="1"/>
  <c r="V62" i="1"/>
  <c r="CY37" i="1"/>
  <c r="X37" i="1" s="1"/>
  <c r="CZ37" i="1"/>
  <c r="Y37" i="1" s="1"/>
  <c r="CY36" i="1"/>
  <c r="X36" i="1" s="1"/>
  <c r="AK62" i="1" s="1"/>
  <c r="CZ36" i="1"/>
  <c r="Y36" i="1" s="1"/>
  <c r="AF62" i="1"/>
  <c r="CP42" i="1"/>
  <c r="O42" i="1" s="1"/>
  <c r="AG62" i="1"/>
  <c r="CP45" i="1"/>
  <c r="O45" i="1" s="1"/>
  <c r="GM45" i="1" s="1"/>
  <c r="GN45" i="1" s="1"/>
  <c r="AP33" i="1"/>
  <c r="F71" i="1"/>
  <c r="AP141" i="1"/>
  <c r="AF94" i="1"/>
  <c r="S111" i="1"/>
  <c r="CZ48" i="1"/>
  <c r="Y48" i="1" s="1"/>
  <c r="CY48" i="1"/>
  <c r="X48" i="1" s="1"/>
  <c r="GM48" i="1" s="1"/>
  <c r="GO48" i="1" s="1"/>
  <c r="CZ55" i="1"/>
  <c r="Y55" i="1" s="1"/>
  <c r="CY55" i="1"/>
  <c r="X55" i="1" s="1"/>
  <c r="GM55" i="1" s="1"/>
  <c r="GN55" i="1" s="1"/>
  <c r="BD33" i="1"/>
  <c r="F87" i="1"/>
  <c r="BD141" i="1"/>
  <c r="CY49" i="1"/>
  <c r="X49" i="1" s="1"/>
  <c r="GM49" i="1" s="1"/>
  <c r="GO49" i="1" s="1"/>
  <c r="CZ49" i="1"/>
  <c r="Y49" i="1" s="1"/>
  <c r="AQ33" i="1"/>
  <c r="F72" i="1"/>
  <c r="AQ141" i="1"/>
  <c r="V111" i="1"/>
  <c r="AI94" i="1"/>
  <c r="CZ102" i="1"/>
  <c r="Y102" i="1" s="1"/>
  <c r="CY102" i="1"/>
  <c r="X102" i="1" s="1"/>
  <c r="GM102" i="1" s="1"/>
  <c r="GO102" i="1" s="1"/>
  <c r="AX111" i="1"/>
  <c r="CG94" i="1"/>
  <c r="GM107" i="1"/>
  <c r="GO107" i="1" s="1"/>
  <c r="CP99" i="1"/>
  <c r="O99" i="1" s="1"/>
  <c r="GM99" i="1" s="1"/>
  <c r="GO99" i="1" s="1"/>
  <c r="AH94" i="1"/>
  <c r="U111" i="1"/>
  <c r="I12" i="6" l="1"/>
  <c r="J266" i="6"/>
  <c r="J270" i="6"/>
  <c r="J262" i="6"/>
  <c r="J175" i="6"/>
  <c r="GN35" i="1"/>
  <c r="CB94" i="1"/>
  <c r="AS111" i="1"/>
  <c r="AB94" i="1"/>
  <c r="O111" i="1"/>
  <c r="U94" i="1"/>
  <c r="F133" i="1"/>
  <c r="AP29" i="1"/>
  <c r="F150" i="1"/>
  <c r="AP171" i="1"/>
  <c r="BB29" i="1"/>
  <c r="F154" i="1"/>
  <c r="BB171" i="1"/>
  <c r="BA94" i="1"/>
  <c r="F131" i="1"/>
  <c r="AZ111" i="1"/>
  <c r="CI94" i="1"/>
  <c r="AU29" i="1"/>
  <c r="F160" i="1"/>
  <c r="AU171" i="1"/>
  <c r="AX94" i="1"/>
  <c r="F118" i="1"/>
  <c r="V94" i="1"/>
  <c r="F134" i="1"/>
  <c r="GM42" i="1"/>
  <c r="GN42" i="1" s="1"/>
  <c r="AE33" i="1"/>
  <c r="R62" i="1"/>
  <c r="W94" i="1"/>
  <c r="F135" i="1"/>
  <c r="GM36" i="1"/>
  <c r="GN36" i="1" s="1"/>
  <c r="AB62" i="1"/>
  <c r="AD33" i="1"/>
  <c r="Q62" i="1"/>
  <c r="AK33" i="1"/>
  <c r="X62" i="1"/>
  <c r="CC62" i="1"/>
  <c r="AK111" i="1"/>
  <c r="AQ29" i="1"/>
  <c r="F151" i="1"/>
  <c r="AQ171" i="1"/>
  <c r="F126" i="1"/>
  <c r="S94" i="1"/>
  <c r="AF33" i="1"/>
  <c r="S62" i="1"/>
  <c r="AP94" i="1"/>
  <c r="F120" i="1"/>
  <c r="AZ33" i="1"/>
  <c r="F73" i="1"/>
  <c r="AZ141" i="1"/>
  <c r="W33" i="1"/>
  <c r="W141" i="1"/>
  <c r="F86" i="1"/>
  <c r="AX33" i="1"/>
  <c r="F69" i="1"/>
  <c r="AX141" i="1"/>
  <c r="AC33" i="1"/>
  <c r="P62" i="1"/>
  <c r="CE62" i="1"/>
  <c r="CF62" i="1"/>
  <c r="CH62" i="1"/>
  <c r="F127" i="1"/>
  <c r="BC94" i="1"/>
  <c r="BC141" i="1"/>
  <c r="BB94" i="1"/>
  <c r="F124" i="1"/>
  <c r="T94" i="1"/>
  <c r="F132" i="1"/>
  <c r="U33" i="1"/>
  <c r="F84" i="1"/>
  <c r="U141" i="1"/>
  <c r="AG33" i="1"/>
  <c r="T62" i="1"/>
  <c r="CJ33" i="1"/>
  <c r="BA62" i="1"/>
  <c r="AL111" i="1"/>
  <c r="BD29" i="1"/>
  <c r="BD171" i="1"/>
  <c r="F166" i="1"/>
  <c r="AL62" i="1"/>
  <c r="V33" i="1"/>
  <c r="F85" i="1"/>
  <c r="V141" i="1"/>
  <c r="GO98" i="1"/>
  <c r="CC111" i="1" s="1"/>
  <c r="CA111" i="1"/>
  <c r="P111" i="1"/>
  <c r="CE111" i="1"/>
  <c r="AC94" i="1"/>
  <c r="CF111" i="1"/>
  <c r="CH111" i="1"/>
  <c r="AO29" i="1"/>
  <c r="F145" i="1"/>
  <c r="AO171" i="1"/>
  <c r="R111" i="1"/>
  <c r="AE94" i="1"/>
  <c r="GM46" i="1"/>
  <c r="GN46" i="1" s="1"/>
  <c r="GM37" i="1"/>
  <c r="GN37" i="1" s="1"/>
  <c r="Q94" i="1"/>
  <c r="F123" i="1"/>
  <c r="AT111" i="1" l="1"/>
  <c r="CC94" i="1"/>
  <c r="BC29" i="1"/>
  <c r="F157" i="1"/>
  <c r="BC171" i="1"/>
  <c r="W29" i="1"/>
  <c r="F165" i="1"/>
  <c r="W171" i="1"/>
  <c r="X33" i="1"/>
  <c r="F88" i="1"/>
  <c r="AB33" i="1"/>
  <c r="O62" i="1"/>
  <c r="R33" i="1"/>
  <c r="F76" i="1"/>
  <c r="R141" i="1"/>
  <c r="AS94" i="1"/>
  <c r="F128" i="1"/>
  <c r="AV111" i="1"/>
  <c r="CE94" i="1"/>
  <c r="V29" i="1"/>
  <c r="V171" i="1"/>
  <c r="F164" i="1"/>
  <c r="BA33" i="1"/>
  <c r="F82" i="1"/>
  <c r="BA141" i="1"/>
  <c r="U29" i="1"/>
  <c r="U171" i="1"/>
  <c r="F163" i="1"/>
  <c r="CE33" i="1"/>
  <c r="AV62" i="1"/>
  <c r="AP22" i="1"/>
  <c r="F180" i="1"/>
  <c r="G16" i="2" s="1"/>
  <c r="G18" i="2" s="1"/>
  <c r="AP201" i="1"/>
  <c r="AL33" i="1"/>
  <c r="Y62" i="1"/>
  <c r="AX29" i="1"/>
  <c r="F148" i="1"/>
  <c r="AX171" i="1"/>
  <c r="R94" i="1"/>
  <c r="F125" i="1"/>
  <c r="P94" i="1"/>
  <c r="F114" i="1"/>
  <c r="BD22" i="1"/>
  <c r="F196" i="1"/>
  <c r="BD201" i="1"/>
  <c r="P33" i="1"/>
  <c r="F65" i="1"/>
  <c r="P141" i="1"/>
  <c r="AZ29" i="1"/>
  <c r="AZ171" i="1"/>
  <c r="F152" i="1"/>
  <c r="X111" i="1"/>
  <c r="X141" i="1" s="1"/>
  <c r="AK94" i="1"/>
  <c r="Q33" i="1"/>
  <c r="Q141" i="1"/>
  <c r="F74" i="1"/>
  <c r="BB22" i="1"/>
  <c r="F184" i="1"/>
  <c r="BB201" i="1"/>
  <c r="O94" i="1"/>
  <c r="F113" i="1"/>
  <c r="CA62" i="1"/>
  <c r="AL94" i="1"/>
  <c r="Y111" i="1"/>
  <c r="CF33" i="1"/>
  <c r="AW62" i="1"/>
  <c r="CH94" i="1"/>
  <c r="AY111" i="1"/>
  <c r="AO22" i="1"/>
  <c r="AO201" i="1"/>
  <c r="F175" i="1"/>
  <c r="CF94" i="1"/>
  <c r="AW111" i="1"/>
  <c r="AR111" i="1"/>
  <c r="CA94" i="1"/>
  <c r="T33" i="1"/>
  <c r="F83" i="1"/>
  <c r="T141" i="1"/>
  <c r="CH33" i="1"/>
  <c r="AY62" i="1"/>
  <c r="S33" i="1"/>
  <c r="F77" i="1"/>
  <c r="S141" i="1"/>
  <c r="AQ22" i="1"/>
  <c r="F181" i="1"/>
  <c r="AQ201" i="1"/>
  <c r="CC33" i="1"/>
  <c r="AT62" i="1"/>
  <c r="AU22" i="1"/>
  <c r="F190" i="1"/>
  <c r="AU201" i="1"/>
  <c r="AZ94" i="1"/>
  <c r="F122" i="1"/>
  <c r="CB62" i="1"/>
  <c r="X29" i="1" l="1"/>
  <c r="X171" i="1"/>
  <c r="F167" i="1"/>
  <c r="BB18" i="1"/>
  <c r="F214" i="1"/>
  <c r="R29" i="1"/>
  <c r="R171" i="1"/>
  <c r="F155" i="1"/>
  <c r="W22" i="1"/>
  <c r="F195" i="1"/>
  <c r="W201" i="1"/>
  <c r="AQ18" i="1"/>
  <c r="F211" i="1"/>
  <c r="AR94" i="1"/>
  <c r="F139" i="1"/>
  <c r="AO18" i="1"/>
  <c r="F205" i="1"/>
  <c r="AW33" i="1"/>
  <c r="F68" i="1"/>
  <c r="AW141" i="1"/>
  <c r="CA33" i="1"/>
  <c r="AR62" i="1"/>
  <c r="AZ22" i="1"/>
  <c r="F182" i="1"/>
  <c r="AZ201" i="1"/>
  <c r="AX22" i="1"/>
  <c r="AX201" i="1"/>
  <c r="F178" i="1"/>
  <c r="AV33" i="1"/>
  <c r="F67" i="1"/>
  <c r="AV141" i="1"/>
  <c r="AV94" i="1"/>
  <c r="F116" i="1"/>
  <c r="AU18" i="1"/>
  <c r="F220" i="1"/>
  <c r="CB33" i="1"/>
  <c r="AS62" i="1"/>
  <c r="T29" i="1"/>
  <c r="T171" i="1"/>
  <c r="F162" i="1"/>
  <c r="AW94" i="1"/>
  <c r="F117" i="1"/>
  <c r="BD18" i="1"/>
  <c r="F226" i="1"/>
  <c r="AP18" i="1"/>
  <c r="F210" i="1"/>
  <c r="BA29" i="1"/>
  <c r="F161" i="1"/>
  <c r="BA171" i="1"/>
  <c r="V22" i="1"/>
  <c r="V201" i="1"/>
  <c r="F194" i="1"/>
  <c r="S29" i="1"/>
  <c r="S171" i="1"/>
  <c r="F156" i="1"/>
  <c r="Q29" i="1"/>
  <c r="F153" i="1"/>
  <c r="Q171" i="1"/>
  <c r="Y33" i="1"/>
  <c r="F89" i="1"/>
  <c r="Y141" i="1"/>
  <c r="U22" i="1"/>
  <c r="F193" i="1"/>
  <c r="U201" i="1"/>
  <c r="AT33" i="1"/>
  <c r="F80" i="1"/>
  <c r="AT141" i="1"/>
  <c r="AY33" i="1"/>
  <c r="AY141" i="1"/>
  <c r="F70" i="1"/>
  <c r="AY94" i="1"/>
  <c r="F119" i="1"/>
  <c r="Y94" i="1"/>
  <c r="F138" i="1"/>
  <c r="X94" i="1"/>
  <c r="F137" i="1"/>
  <c r="P29" i="1"/>
  <c r="P171" i="1"/>
  <c r="F144" i="1"/>
  <c r="O33" i="1"/>
  <c r="F64" i="1"/>
  <c r="O141" i="1"/>
  <c r="BC22" i="1"/>
  <c r="F187" i="1"/>
  <c r="BC201" i="1"/>
  <c r="AT94" i="1"/>
  <c r="F129" i="1"/>
  <c r="T22" i="1" l="1"/>
  <c r="F192" i="1"/>
  <c r="T201" i="1"/>
  <c r="AX18" i="1"/>
  <c r="F208" i="1"/>
  <c r="O29" i="1"/>
  <c r="O171" i="1"/>
  <c r="F143" i="1"/>
  <c r="P22" i="1"/>
  <c r="F174" i="1"/>
  <c r="P201" i="1"/>
  <c r="Q22" i="1"/>
  <c r="Q201" i="1"/>
  <c r="F183" i="1"/>
  <c r="S22" i="1"/>
  <c r="S201" i="1"/>
  <c r="F186" i="1"/>
  <c r="AR33" i="1"/>
  <c r="AR141" i="1"/>
  <c r="F90" i="1"/>
  <c r="W18" i="1"/>
  <c r="F225" i="1"/>
  <c r="R22" i="1"/>
  <c r="R201" i="1"/>
  <c r="F185" i="1"/>
  <c r="AV29" i="1"/>
  <c r="AV171" i="1"/>
  <c r="F146" i="1"/>
  <c r="BC18" i="1"/>
  <c r="F217" i="1"/>
  <c r="Y29" i="1"/>
  <c r="Y171" i="1"/>
  <c r="F168" i="1"/>
  <c r="BA22" i="1"/>
  <c r="BA201" i="1"/>
  <c r="F191" i="1"/>
  <c r="H16" i="2" s="1"/>
  <c r="H18" i="2" s="1"/>
  <c r="AS33" i="1"/>
  <c r="F79" i="1"/>
  <c r="AS141" i="1"/>
  <c r="AZ18" i="1"/>
  <c r="F212" i="1"/>
  <c r="X22" i="1"/>
  <c r="F197" i="1"/>
  <c r="X201" i="1"/>
  <c r="AT29" i="1"/>
  <c r="F159" i="1"/>
  <c r="AT171" i="1"/>
  <c r="V18" i="1"/>
  <c r="F224" i="1"/>
  <c r="AY29" i="1"/>
  <c r="F149" i="1"/>
  <c r="AY171" i="1"/>
  <c r="U18" i="1"/>
  <c r="F223" i="1"/>
  <c r="AW29" i="1"/>
  <c r="AW171" i="1"/>
  <c r="F147" i="1"/>
  <c r="AW22" i="1" l="1"/>
  <c r="AW201" i="1"/>
  <c r="F177" i="1"/>
  <c r="X18" i="1"/>
  <c r="F227" i="1"/>
  <c r="Y22" i="1"/>
  <c r="Y201" i="1"/>
  <c r="F198" i="1"/>
  <c r="AT22" i="1"/>
  <c r="F189" i="1"/>
  <c r="F16" i="2" s="1"/>
  <c r="F18" i="2" s="1"/>
  <c r="AT201" i="1"/>
  <c r="AS29" i="1"/>
  <c r="F158" i="1"/>
  <c r="AS171" i="1"/>
  <c r="BA18" i="1"/>
  <c r="F221" i="1"/>
  <c r="AV22" i="1"/>
  <c r="F176" i="1"/>
  <c r="AV201" i="1"/>
  <c r="AR29" i="1"/>
  <c r="F169" i="1"/>
  <c r="AR171" i="1"/>
  <c r="P18" i="1"/>
  <c r="F204" i="1"/>
  <c r="O22" i="1"/>
  <c r="F173" i="1"/>
  <c r="O201" i="1"/>
  <c r="T18" i="1"/>
  <c r="F222" i="1"/>
  <c r="AY22" i="1"/>
  <c r="F179" i="1"/>
  <c r="AY201" i="1"/>
  <c r="S18" i="1"/>
  <c r="F216" i="1"/>
  <c r="R18" i="1"/>
  <c r="F215" i="1"/>
  <c r="J16" i="2"/>
  <c r="J18" i="2" s="1"/>
  <c r="Q18" i="1"/>
  <c r="F213" i="1"/>
  <c r="AY18" i="1" l="1"/>
  <c r="F209" i="1"/>
  <c r="O18" i="1"/>
  <c r="F203" i="1"/>
  <c r="AV18" i="1"/>
  <c r="F206" i="1"/>
  <c r="AT18" i="1"/>
  <c r="F219" i="1"/>
  <c r="Y18" i="1"/>
  <c r="F228" i="1"/>
  <c r="AR22" i="1"/>
  <c r="F199" i="1"/>
  <c r="AR201" i="1"/>
  <c r="AS22" i="1"/>
  <c r="F188" i="1"/>
  <c r="E16" i="2" s="1"/>
  <c r="AS201" i="1"/>
  <c r="AW18" i="1"/>
  <c r="F207" i="1"/>
  <c r="AS18" i="1" l="1"/>
  <c r="F218" i="1"/>
  <c r="I16" i="2"/>
  <c r="I18" i="2" s="1"/>
  <c r="E18" i="2"/>
  <c r="AR18" i="1"/>
  <c r="F229" i="1"/>
</calcChain>
</file>

<file path=xl/sharedStrings.xml><?xml version="1.0" encoding="utf-8"?>
<sst xmlns="http://schemas.openxmlformats.org/spreadsheetml/2006/main" count="2790" uniqueCount="321">
  <si>
    <t>Smeta.RU Flash  (495) 974-1589</t>
  </si>
  <si>
    <t>_PS_</t>
  </si>
  <si>
    <t>Smeta.RU Flash</t>
  </si>
  <si>
    <t/>
  </si>
  <si>
    <t>«ПИР, СМР для технологического присоединения к электрической сети энергопринимающих устройств комплекса объектов на земельном участке, расположенном по адресу: г. Москва, Краснопресненская набережная, вл.14, стр.1»</t>
  </si>
  <si>
    <t>02-01-07 (1 этап)</t>
  </si>
  <si>
    <t>02-01-07 КЛ в коллекторах от РП 60206 до ТП-новая (ВОЛС) корр.3</t>
  </si>
  <si>
    <t>Сметные нормы списания</t>
  </si>
  <si>
    <t>Коды ОКП для ТСН-2001 МГЭ (История развития)</t>
  </si>
  <si>
    <t>ТСН-2001 (МГЭ) - Новое строительство</t>
  </si>
  <si>
    <t>Типовой расчет для ТСН-2001 МГЭ, Новая методика с выпуска доп. 43 (Строительство), Доп 71</t>
  </si>
  <si>
    <t>Территориальные сметные нормативы для Москвы ТСН-2001 (МГЭ)</t>
  </si>
  <si>
    <t>Поправки для ТСН-2001 от 13.02.2024 г. доп.71</t>
  </si>
  <si>
    <t>Территориальные сметные нормативы для Москвы (ТСН-2001)</t>
  </si>
  <si>
    <t>ТЕР</t>
  </si>
  <si>
    <t>КЛ в коллекторах от РП 60206 до ТП-новая</t>
  </si>
  <si>
    <t>Новая локальная смета</t>
  </si>
  <si>
    <t>Новый раздел</t>
  </si>
  <si>
    <t>Прокладка ВОЛС в коллекторе</t>
  </si>
  <si>
    <t>Новый подраздел</t>
  </si>
  <si>
    <t>Строительные работы</t>
  </si>
  <si>
    <t>1</t>
  </si>
  <si>
    <t>6.69-3-2</t>
  </si>
  <si>
    <t>Пробивка отверстий в перекрытиях отбойным молотком, размер стороны отверстия до 250 мм  (ПК 26 - переход в коллектор "Москва-Сити" )</t>
  </si>
  <si>
    <t>100 отверстий</t>
  </si>
  <si>
    <t>ТСН-2001.6 Доп. 68, Сб. 69, т. 3, поз. 2</t>
  </si>
  <si>
    <t>)*1)*1</t>
  </si>
  <si>
    <t>)*1,2)*1,1</t>
  </si>
  <si>
    <t>Ремонтно-строительные работы</t>
  </si>
  <si>
    <t>ТСН-2001.6-69. 69-1...69-49</t>
  </si>
  <si>
    <t>ТСН-2001.6-69-1</t>
  </si>
  <si>
    <t>Поправка: Гл.4.Прил.2.2.п.2.2.3_04.00.01.01.001  Поправка: Гл.6.Прил.2.2.п.2.2.2_06.00.01.02.001</t>
  </si>
  <si>
    <t>2</t>
  </si>
  <si>
    <t>3.34-17-3</t>
  </si>
  <si>
    <t>Устройство трубопроводов из асбестоцементных труб с соединением манжетами полиэтиленовыми до 2-х отверстий</t>
  </si>
  <si>
    <t>1 канало-километр трубопровода</t>
  </si>
  <si>
    <t>ТСН-2001.3. Доп. 1-42. Сб. 34, т. 17, поз. 3</t>
  </si>
  <si>
    <t>ТСН-2001.3-34. 34-17...34-28</t>
  </si>
  <si>
    <t>ТСН-2001.3-34-6</t>
  </si>
  <si>
    <t>2,1</t>
  </si>
  <si>
    <t>1.12-3-25</t>
  </si>
  <si>
    <t>Трубы хризотилцементные безнапорные, марка БНТ, диаметр условного прохода 100 мм, внутренний диаметр 100 мм</t>
  </si>
  <si>
    <t>м</t>
  </si>
  <si>
    <t>ТСН-2001.1 Доп. 70, Р. 12, о. 3, поз. 25</t>
  </si>
  <si>
    <t>3</t>
  </si>
  <si>
    <t>1.12-3-26</t>
  </si>
  <si>
    <t>Трубы хризотилцементные безнапорные, марка БНТ, диаметр условного прохода 150 мм, внутренний диаметр 141 мм</t>
  </si>
  <si>
    <t>ТСН-2001.1 Доп. 70, Р. 12, о. 3, поз. 26</t>
  </si>
  <si>
    <t>Материалы строительные</t>
  </si>
  <si>
    <t>ТСН-2001.1 Материалы строительные</t>
  </si>
  <si>
    <t>ТСН-2001.1-1</t>
  </si>
  <si>
    <t>4</t>
  </si>
  <si>
    <t>6.69-9-3</t>
  </si>
  <si>
    <t>Заделка отверстий в бетонных перекрытиях в местах прохода трубопроводов</t>
  </si>
  <si>
    <t>ТСН-2001.6. Доп. 1-42. Сб. 69, т. 9, поз. 3</t>
  </si>
  <si>
    <t>5</t>
  </si>
  <si>
    <t>1.3-1-40</t>
  </si>
  <si>
    <t>Прим. Смесь бетонная тяжелого бетона БСТ на гранитном щебне, крупность заполнителя от 5 до 20 мм, класс прочности В22,5 (М300), П3, F100-150, W4</t>
  </si>
  <si>
    <t>м3</t>
  </si>
  <si>
    <t>ТСН-2001.1 Доп. 67, Р. 3, о. 1, поз. 40</t>
  </si>
  <si>
    <t>6</t>
  </si>
  <si>
    <t>1.1-1-740</t>
  </si>
  <si>
    <t>Пакля пропитанная</t>
  </si>
  <si>
    <t>кг</t>
  </si>
  <si>
    <t>ТСН-2001.1. Доп. 1-42. Р. 1, о. 1, поз. 740</t>
  </si>
  <si>
    <t>7</t>
  </si>
  <si>
    <t>6.69-28-19</t>
  </si>
  <si>
    <t>Сверление отверстий в строительных конструкциях из кирпича установками алмазного сверления, диаметр кольцевого алмазного сверла 200 мм (ПК3 - 1 отв. х 1,5м)</t>
  </si>
  <si>
    <t>10 см проходки сверла</t>
  </si>
  <si>
    <t>ТСН-2001.6 Доп. 68, Сб. 69, т. 28, поз. 19</t>
  </si>
  <si>
    <t>8</t>
  </si>
  <si>
    <t>1.7-3-47</t>
  </si>
  <si>
    <t>Коронка буровая алмазная высокоэффективная, с быстросъемным хвостовиком, для всех типов бетона, длина 430 мм, диаметр 202 мм</t>
  </si>
  <si>
    <t>шт.</t>
  </si>
  <si>
    <t>ТСН-2001.1 Доп. 49, Р. 7, о. 3, поз. 47</t>
  </si>
  <si>
    <t>9</t>
  </si>
  <si>
    <t>9,1</t>
  </si>
  <si>
    <t>10</t>
  </si>
  <si>
    <t>11</t>
  </si>
  <si>
    <t>4.8-86-1</t>
  </si>
  <si>
    <t>Герметизация прохода при вводе кабелей во взрывоопасные помещения уплотнительной массой</t>
  </si>
  <si>
    <t>1 проход кабеля</t>
  </si>
  <si>
    <t>ТСН-2001.4 Доп. 67, Сб. 8, т. 86, поз. 1</t>
  </si>
  <si>
    <t>Монтаж оборудования</t>
  </si>
  <si>
    <t>ТСН-2001.4-8. 8-84...8-94</t>
  </si>
  <si>
    <t>ТСН-2001.4-8-5</t>
  </si>
  <si>
    <t>11,1</t>
  </si>
  <si>
    <t>1.1-1-8035</t>
  </si>
  <si>
    <t>Состав уплотнительный на органической основе с минеральным наполнителем для герметизации кабельных вводов, муфт, зазоров, резьбовых соединений газовых и водопроводных труб</t>
  </si>
  <si>
    <t>ТСН-2001.1 Доп. 67, Р. 1, о. 1, поз. 8035</t>
  </si>
  <si>
    <t>11,2</t>
  </si>
  <si>
    <t>1.1-1-7994</t>
  </si>
  <si>
    <t>Шнур асбестовый, общего назначения, типа ШАОН, диаметр от 3 до 5 мм</t>
  </si>
  <si>
    <t>т</t>
  </si>
  <si>
    <t>ТСН-2001.1 Доп. 70, Р. 1, о. 1, поз. 7994</t>
  </si>
  <si>
    <t>12</t>
  </si>
  <si>
    <t>1.3-2-141</t>
  </si>
  <si>
    <t>ТСН-2001.1 Доп. 70, Р. 3, о. 2, поз. 141</t>
  </si>
  <si>
    <t>13</t>
  </si>
  <si>
    <t>1.3-2-142</t>
  </si>
  <si>
    <t>ТСН-2001.1 Доп. 70, Р. 3, о. 2, поз. 142</t>
  </si>
  <si>
    <t>14</t>
  </si>
  <si>
    <t>1.1-1-2859</t>
  </si>
  <si>
    <t>Шнур водорасширяющийся из бентонитовой глины с каучуком, увеличение объема до 400%, сечение 28х16 мм, для герметизации и гидроизоляции швов бетонных конструкций</t>
  </si>
  <si>
    <t>ТСН-2001.1 Доп. 46, Р. 1, о. 1, поз. 2859</t>
  </si>
  <si>
    <t>15</t>
  </si>
  <si>
    <t>3.8-2-5</t>
  </si>
  <si>
    <t>Гидроизоляция стен, фундаментов боковая оклеечная по выравненной поверхности бутовой кладки, кирпичу и бетону в 2 слоя (выход в землю)</t>
  </si>
  <si>
    <t>100 м2 изолируемой поверхности</t>
  </si>
  <si>
    <t>ТСН-2001.3 Доп. 71, Сб. 8, т. 2, поз. 5</t>
  </si>
  <si>
    <t>ТСН-2001.3-8. 8-2-2,3,5...7</t>
  </si>
  <si>
    <t>ТСН-2001.3-8-2</t>
  </si>
  <si>
    <t>16</t>
  </si>
  <si>
    <t>3.8-2-3</t>
  </si>
  <si>
    <t>Оклеечная горизонтальная гидроизоляция стен, фундаментов в 2 слоя</t>
  </si>
  <si>
    <t>ТСН-2001.3 Доп. 70, Сб. 8, т. 2, поз. 3</t>
  </si>
  <si>
    <t>17</t>
  </si>
  <si>
    <t>1.3-2-5</t>
  </si>
  <si>
    <t>Раствор цементный, марка М100</t>
  </si>
  <si>
    <t>ТСН-2001.1 Доп. 67, Р. 3, о. 2, поз. 5</t>
  </si>
  <si>
    <t>18</t>
  </si>
  <si>
    <t>1.1-1-1314</t>
  </si>
  <si>
    <t>м2</t>
  </si>
  <si>
    <t>ТСН-2001.1 Доп. 67, Р. 1, о. 1, поз. 1314</t>
  </si>
  <si>
    <t>19</t>
  </si>
  <si>
    <t>1.1-1-613</t>
  </si>
  <si>
    <t>ТСН-2001.1 Доп. 70, Р. 1, о. 1, поз. 613</t>
  </si>
  <si>
    <t>20</t>
  </si>
  <si>
    <t>6.69-24-7</t>
  </si>
  <si>
    <t>Сверление сквозных отверстий в железобетонных потолках электроперфоратором, диаметр отверстия до 20 мм, глубина сверления 100 мм (установка переходной металлоконструкции ПК3 и ПК 26)</t>
  </si>
  <si>
    <t>ТСН-2001.6 Доп. 68, Сб. 69, т. 24, поз. 7</t>
  </si>
  <si>
    <t>20,1</t>
  </si>
  <si>
    <t>1.7-3-2</t>
  </si>
  <si>
    <t>Сверло с алмазным покрытием, диаметр 20 мм</t>
  </si>
  <si>
    <t>ТСН-2001.1. Доп. 1-42. Р. 7, о. 3, поз. 2</t>
  </si>
  <si>
    <t>21</t>
  </si>
  <si>
    <t>3.9-72-2</t>
  </si>
  <si>
    <t>Установка распорных анкеров в готовые отверстия</t>
  </si>
  <si>
    <t>100 шт.</t>
  </si>
  <si>
    <t>ТСН-2001.3. Доп. 1-42. Сб. 9, т. 72, поз. 2</t>
  </si>
  <si>
    <t>ТСН-2001.3-9. 9-1...9-72</t>
  </si>
  <si>
    <t>ТСН-2001.3-9-1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</si>
  <si>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</si>
  <si>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</si>
  <si>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</si>
  <si>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</si>
  <si>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</si>
  <si>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</si>
  <si>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</si>
  <si>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</si>
  <si>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</si>
  <si>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</si>
  <si>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</si>
  <si>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</si>
  <si>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</si>
  <si>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</si>
  <si>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</si>
  <si>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</si>
  <si>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</si>
  <si>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</si>
  <si>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</si>
  <si>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</si>
  <si>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</si>
  <si>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</si>
  <si>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</si>
  <si>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</si>
  <si>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</si>
  <si>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</si>
  <si>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</si>
  <si>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</si>
  <si>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</si>
  <si>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</si>
  <si>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</si>
  <si>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</si>
  <si>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</si>
  <si>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</si>
  <si>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</si>
  <si>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</si>
  <si>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</si>
  <si>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</si>
  <si>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</si>
  <si>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</si>
  <si>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</si>
  <si>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</si>
  <si>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</si>
  <si>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</si>
  <si>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</si>
  <si>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</si>
  <si>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</si>
  <si>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</si>
  <si>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</si>
  <si>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</si>
  <si>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</si>
  <si>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</si>
  <si>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</si>
  <si>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</si>
  <si>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Монтажные работы</t>
  </si>
  <si>
    <t>22</t>
  </si>
  <si>
    <t>16.1-4811-4</t>
  </si>
  <si>
    <t>Прокладка оптического кабеля ОКСТ в канализации, число волокон 16 (ПК 222 - ПК 56)</t>
  </si>
  <si>
    <t>1 КМ</t>
  </si>
  <si>
    <t>ТСН-2001.16. Доп. 1-42. Сб. 1, т. 4811, поз. 4</t>
  </si>
  <si>
    <t>)*1</t>
  </si>
  <si>
    <t>)*1,2</t>
  </si>
  <si>
    <t>Укрупненные показатели стоимости строительства</t>
  </si>
  <si>
    <t>ТСН-2001.16-1. Укрупненные показатели стоимости строительства (доп. 17, 24)</t>
  </si>
  <si>
    <t>ТСН-2001.16-0-1</t>
  </si>
  <si>
    <t>Поправка: Гл.4.Прил.2.2.п.2.2.3_04.00.01.01.001</t>
  </si>
  <si>
    <t>Цена поставщика</t>
  </si>
  <si>
    <t>Кабель ОГЦ-16А-7кН</t>
  </si>
  <si>
    <t>Материалы монтажные</t>
  </si>
  <si>
    <t>ТСН-2001.1 Материалы монтажные</t>
  </si>
  <si>
    <t>ТСН-2001.1-2</t>
  </si>
  <si>
    <t>[50 /  9,57] +  2% Заг.скл</t>
  </si>
  <si>
    <t>0</t>
  </si>
  <si>
    <t>23</t>
  </si>
  <si>
    <t>Прокладка оптического кабеля ОКСТ в канализации, число волокон 16 (ПК 222 - ПК 117)</t>
  </si>
  <si>
    <t>24</t>
  </si>
  <si>
    <t>Прокладка оптического кабеля ОКСТ в канализации, число волокон 16 (по зданию 11 уч.)</t>
  </si>
  <si>
    <t>25</t>
  </si>
  <si>
    <t>4.10-181-1</t>
  </si>
  <si>
    <t>Монтаж оптического кросса с учетом измерений в процессе монтажа на волоконно-оптических кабелях ГТС с числом волокон 32</t>
  </si>
  <si>
    <t>1 кросс</t>
  </si>
  <si>
    <t>ТСН-2001.4 Доп. 69, Сб. 10, т. 181, поз. 1</t>
  </si>
  <si>
    <t>ТСН-2001.4-10. 10-180-1...10-181-3 (доп. 42)</t>
  </si>
  <si>
    <t>ТСН-2001.4-10-25</t>
  </si>
  <si>
    <t>26</t>
  </si>
  <si>
    <t>4.10-181-3</t>
  </si>
  <si>
    <t>Добавлять (уменьшать) при изменении на каждые 4 волокна волоконно-оптического кабеля ГТС (или зонового) при монтаже оптического кросса (к нормам и расценкам 4.10-181-1 и 4.10-181-2) ( 16 волокон)</t>
  </si>
  <si>
    <t>ТСН-2001.4 Доп. 68, Сб. 10, т. 181, поз. 3</t>
  </si>
  <si>
    <t>27</t>
  </si>
  <si>
    <t>Кросс оптический настенный НКРУ-A16/32-LC-MM50 (укомплектованный)</t>
  </si>
  <si>
    <t>[3 960 / 1,2 /  9,57] +  2% Заг.скл</t>
  </si>
  <si>
    <t>28</t>
  </si>
  <si>
    <t>4.8-292-1</t>
  </si>
  <si>
    <t>Монтаж кабельной стойки-кронштейна в коммуникационных коллекторах (Переходная металлоконструкция ПК 3)</t>
  </si>
  <si>
    <t>1 Т</t>
  </si>
  <si>
    <t>ТСН-2001.4 Доп. 68, Сб. 8, т. 292, поз. 1</t>
  </si>
  <si>
    <t>ТСН-2001.4-8. 8-291...8-292 (доп. 24)</t>
  </si>
  <si>
    <t>ТСН-2001.4-8-29</t>
  </si>
  <si>
    <t>29</t>
  </si>
  <si>
    <t>1.21-5-1358</t>
  </si>
  <si>
    <t>Профиль П-образный стальной, оцинкованный, для монтажа несущих конструкций, подвесных систем, вентиляционных коробов, консолей при прокладке кабельных трасс, сечение 48х29х1,5 мм, длина 1000 мм</t>
  </si>
  <si>
    <t>ТСН-2001.1 Доп. 51, Р. 21, о. 5, поз. 1358</t>
  </si>
  <si>
    <t>30</t>
  </si>
  <si>
    <t>1.21-5-1403</t>
  </si>
  <si>
    <t>Консоль (кронштейн) одиночная стальная, оцинкованная, для крепления к стене при монтаже трассы кабельных лотков максимальной шириной 200 мм, подвесных элементов и конструкций, С-образный профиль сечением 41х21х2,5 мм, длина 250 мм</t>
  </si>
  <si>
    <t>ТСН-2001.1 Доп. 70, Р. 21, о. 5, поз. 1403</t>
  </si>
  <si>
    <t>31</t>
  </si>
  <si>
    <t>3.13-31-1</t>
  </si>
  <si>
    <t>Нанесение покрытия вспучивающегося огнезащитного на электрические кабели, проложенные в коллекторах, вручную (Кабель ВОЛС)</t>
  </si>
  <si>
    <t>1 м2 покрытия</t>
  </si>
  <si>
    <t>ТСН-2001.3 Доп. 53, Сб. 13, т. 31, поз. 1</t>
  </si>
  <si>
    <t>ТСН-2001.3-13. 13-17-6, 13-17-7, 13-18...13-38</t>
  </si>
  <si>
    <t>ТСН-2001.3-13-3</t>
  </si>
  <si>
    <t>32</t>
  </si>
  <si>
    <t>1.1-1-1970</t>
  </si>
  <si>
    <t>ТСН-2001.1 Доп. 66, Р. 1, о. 1, поз. 1970</t>
  </si>
  <si>
    <t>Уровень цен</t>
  </si>
  <si>
    <t>Сборник индексов</t>
  </si>
  <si>
    <t>Коэффициенты к ТСН-2001 МГЭ</t>
  </si>
  <si>
    <t>210</t>
  </si>
  <si>
    <t>_OBSM_</t>
  </si>
  <si>
    <t>К=1,2 - Гл.4.Прил.2.2.п.2.2.3_04.00.01.01.001  Наименование: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</t>
  </si>
  <si>
    <t>К=1,1 - Гл.6.Прил.2.2.п.2.2.2_06.00.01.02.001  Наименование: При производстве ремонтно-строительных работ в закрытых сооружениях и помещениях (коллекторах, резервуарах, бункерах, камерах и т.п.), верхняя отметка которых находится ниже 3 м от поверхности земли</t>
  </si>
  <si>
    <t>Поправка: Гл.4.Прил.2.2.п.2.2.3_04.00.01.01.001  Наименование: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  Поправка: Гл.6.Прил.2.2.п.2.2.2_06.00.01.02.001  Наименование: При производстве ремонтно-строительных работ в закрытых сооружениях и помещениях (коллекторах, резервуарах, бункерах, камерах и т.п.), верхняя отметка которых находится ниже 3 м от поверхности земли</t>
  </si>
  <si>
    <t>Смесь сухая, цементная, гидроизоляционная, проникающая, механизированного и ручного нанесения, насыпная плотность 1170 кг/м3, плотность раствора 1700 кг/м3, для гидроизоляции сборных и монолитных бетонных и железобетонных элементов конструкций, защиты от агрессивных сред, затягивания трещин раскрытием до 0,4 мм, повышения марки бетона по водонепроницаемости не менее чем на 3 ступени, марки по морозостойкости не менее чем на 100 циклов, допускается применение в хозяйственно-питьевом водоснабжении</t>
  </si>
  <si>
    <t>Смесь сухая, цементная, гидроизоляционная, механизированного и ручного нанесения, насыпная плотность 1260 кг/м3, прочность на сжатие не менее 25 МПа, прочность на растяжение не менее 6,2 МПа, прочность сцепления с бетоном не менее 2 МПа, W14, F400, для гидроизоляции трещин, швов, стыков, вводов коммуникаций в статически нагруженных сборных и монолитных бетонных и железобетонных конструкциях, допускается применение в хозяйственно-питьевом водоснабжении</t>
  </si>
  <si>
    <t>Материал рулонный, кровельный, битумно-полимерный, водостойкий, на основе стеклоткани, СБС-модифицированный, наплавляемый, с крупнозернистой посыпкой с верхней стороны, с мелкозернистой посыпкой и пленкой с нижней стороны, типа ТКП 5,5, теплостойкость не ниже +100°С, гибкость до -25°С, разрывная сила в продольном/поперечном направлении не менее 800/600 Н, для устройства однослойного кровельного ковра с механическим креплением, для верхнего слоя кровельного ковра</t>
  </si>
  <si>
    <t>Мастика битумно-масляная клеящая, гидроизоляционная, герметизирующая, морозостойкая, горячего применения, диапазон температур применения от -25 до +40°С, для изоляции кабелей, защиты конструкций от блуждающих токов, заливки соединительных, осветительных и концевых муфт, защиты от коррозии подземных металлических коммуникаций</t>
  </si>
  <si>
    <t>Поправка: Гл.4.Прил.2.2.п.2.2.3_04.00.01.01.001  Наименование: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</t>
  </si>
  <si>
    <t>Состав (паста) огнезащитный, вспучивающийся, на основе водной полимерной дисперсии и целевых наполнителей, механизированного и ручного нанесения, для внутренних работ, плотность покрытия от 1,1 до 1,5 г/см3, сухой остаток от 66 до 76%, степень расширения не менее 2000%, для защиты кабелей в оболочке из полиэтилена, ПВХ, резины (прим. ОГРАКС-В1 - 1,5 кг/м2)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</si>
  <si>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</si>
  <si>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</si>
  <si>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</si>
  <si>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</si>
  <si>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</si>
  <si>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</si>
  <si>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</si>
  <si>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</si>
  <si>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</si>
  <si>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</si>
  <si>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>чел.-ч.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</si>
  <si>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</si>
  <si>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</si>
  <si>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</si>
  <si>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</si>
  <si>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</si>
  <si>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</si>
  <si>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</si>
  <si>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</si>
  <si>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</si>
  <si>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</si>
  <si>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</si>
  <si>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</si>
  <si>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</si>
  <si>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«ПИР, СМР для технологического присоединения к электрической сети энергопринимающих устройств комплекса объектов на земельном участке, расположенном по адресу: г. Москва, Краснопресненская набережная, вл.14, стр.1». 02-01-07 КЛ в коллекторах от РП 60206 до ТП-новая (ВОЛС) корр.3</t>
  </si>
  <si>
    <t>Составлен(а) по ТСН-2001 с учетом Дополнения №: 71</t>
  </si>
  <si>
    <t>№ и период сборника коэффициентов (индексов) пересчета: Коэффициенты к ТСН-2001 МГЭ №210 март 2024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</si>
  <si>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</si>
  <si>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</si>
  <si>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</si>
  <si>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</si>
  <si>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</si>
  <si>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</si>
  <si>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</si>
  <si>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</si>
  <si>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</si>
  <si>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Всего по позиции:</t>
  </si>
  <si>
    <t>МР</t>
  </si>
  <si>
    <t xml:space="preserve">   Итого по ТСН-2001.16</t>
  </si>
  <si>
    <t xml:space="preserve">   Итого возвратных сумм</t>
  </si>
  <si>
    <t>ВСЕГО: в т.ч.</t>
  </si>
  <si>
    <t>ЗП с НР и СП по ТСН-2001.16</t>
  </si>
  <si>
    <t>ЭМ с НР и СП по ТСН-2001.16</t>
  </si>
  <si>
    <r>
      <t>Кросс оптический настенный НКРУ-A16/32-LC-MM50 (укомплектованный)</t>
    </r>
    <r>
      <rPr>
        <i/>
        <sz val="10"/>
        <rFont val="Arial"/>
        <family val="2"/>
        <charset val="204"/>
      </rPr>
      <t xml:space="preserve">
351,73 = [3 960 / 1,2 /  9,57] +  2% Заг.скл</t>
    </r>
  </si>
  <si>
    <t xml:space="preserve"> тыс.руб.</t>
  </si>
  <si>
    <t xml:space="preserve">Составил   </t>
  </si>
  <si>
    <t>(должность, подпись, инициалы, фамилия)</t>
  </si>
  <si>
    <t xml:space="preserve">Проверил   </t>
  </si>
  <si>
    <t xml:space="preserve">«ПИР, СМР для технологического присоединения к электрической сети энергопринимающих устройств комплекса объектов на земельном участке, расположенном по адресу: г. Москва, Краснопресненская набережная, вл.14, стр.1».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</si>
</sst>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General;\-General;"/>
  </numFmts>
  <fonts count="22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3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u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0" fillId="0" borderId="0" xfId="0"/>
    <xf numFmtId="0" fontId="11" fillId="0" borderId="0" xfId="0" applyFont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horizontal="right"/>
    </xf>
    <xf numFmtId="164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left" wrapText="1"/>
    </xf>
    <xf numFmtId="0" fontId="9" fillId="0" borderId="1" xfId="0" applyFont="1" applyBorder="1" applyAlignment="1">
      <alignment vertical="top" wrapText="1"/>
    </xf>
    <xf numFmtId="0" fontId="14" fillId="0" borderId="0" xfId="0" applyFont="1" applyAlignment="1">
      <alignment horizontal="left" wrapText="1"/>
    </xf>
    <xf numFmtId="0" fontId="11" fillId="0" borderId="0" xfId="0" applyFont="1" applyAlignment="1">
      <alignment horizontal="right" vertical="center"/>
    </xf>
    <xf numFmtId="0" fontId="11" fillId="0" borderId="1" xfId="0" applyFont="1" applyBorder="1"/>
    <xf numFmtId="0" fontId="17" fillId="0" borderId="0" xfId="0" applyFont="1"/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/>
    </xf>
    <xf numFmtId="164" fontId="18" fillId="0" borderId="0" xfId="0" applyNumberFormat="1" applyFont="1"/>
    <xf numFmtId="0" fontId="18" fillId="0" borderId="0" xfId="0" applyFont="1"/>
    <xf numFmtId="0" fontId="17" fillId="0" borderId="0" xfId="0" applyFont="1" applyAlignment="1">
      <alignment horizontal="left"/>
    </xf>
    <xf numFmtId="164" fontId="17" fillId="0" borderId="0" xfId="0" applyNumberFormat="1" applyFont="1"/>
    <xf numFmtId="0" fontId="17" fillId="0" borderId="0" xfId="1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9" fillId="0" borderId="0" xfId="0" applyNumberFormat="1" applyFo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20" fillId="0" borderId="0" xfId="0" applyFont="1" applyAlignment="1">
      <alignment horizontal="center" wrapText="1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 wrapText="1"/>
    </xf>
    <xf numFmtId="164" fontId="16" fillId="0" borderId="0" xfId="0" applyNumberFormat="1" applyFont="1" applyAlignment="1">
      <alignment horizontal="right"/>
    </xf>
    <xf numFmtId="0" fontId="9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5" fontId="9" fillId="0" borderId="1" xfId="0" applyNumberFormat="1" applyFont="1" applyBorder="1" applyAlignment="1">
      <alignment horizontal="right" wrapText="1"/>
    </xf>
    <xf numFmtId="0" fontId="20" fillId="0" borderId="0" xfId="0" applyFont="1"/>
    <xf numFmtId="164" fontId="20" fillId="0" borderId="2" xfId="0" applyNumberFormat="1" applyFont="1" applyBorder="1" applyAlignment="1">
      <alignment horizontal="right"/>
    </xf>
    <xf numFmtId="165" fontId="9" fillId="0" borderId="0" xfId="0" quotePrefix="1" applyNumberFormat="1" applyFont="1" applyAlignment="1">
      <alignment horizontal="right" wrapText="1"/>
    </xf>
    <xf numFmtId="0" fontId="20" fillId="0" borderId="0" xfId="0" applyFont="1" applyAlignment="1">
      <alignment horizontal="left" wrapText="1"/>
    </xf>
    <xf numFmtId="164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9" fillId="0" borderId="1" xfId="0" applyFont="1" applyBorder="1"/>
    <xf numFmtId="0" fontId="21" fillId="0" borderId="0" xfId="0" applyFont="1" applyAlignment="1">
      <alignment horizontal="right" wrapText="1"/>
    </xf>
  </cellXfs>
  <cellStyles count="2">
    <cellStyle name="Обычный" xfId="0" builtinId="0"/>
    <cellStyle name="Обычный 4" xfId="1" xr:uid="{228C3FBE-3F46-4A57-8DF8-71318E33F9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16710-A5C7-4DC8-A5CF-FF609938EFA3}">
  <sheetPr>
    <pageSetUpPr fitToPage="1"/>
  </sheetPr>
  <dimension ref="A1:AQ279"/>
  <sheetViews>
    <sheetView tabSelected="1" topLeftCell="A250" zoomScaleNormal="100" workbookViewId="0">
      <selection activeCell="C289" sqref="C289"/>
    </sheetView>
  </sheetViews>
  <sheetFormatPr defaultRowHeight="12.75" x14ac:dyDescent="0.2"/>
  <cols>
    <col min="1" max="1" width="5.7109375" customWidth="1"/>
    <col min="2" max="2" width="11.7109375" customWidth="1"/>
    <col min="3" max="3" width="50.85546875" customWidth="1"/>
    <col min="4" max="4" width="11.7109375" customWidth="1"/>
    <col min="5" max="5" width="9.7109375" bestFit="1" customWidth="1"/>
    <col min="6" max="6" width="11.28515625" bestFit="1" customWidth="1"/>
    <col min="7" max="7" width="11.85546875" customWidth="1"/>
    <col min="9" max="9" width="10.140625" bestFit="1" customWidth="1"/>
    <col min="11" max="11" width="11.28515625" bestFit="1" customWidth="1"/>
    <col min="14" max="39" width="0" hidden="1" customWidth="1"/>
    <col min="40" max="40" width="116.28515625" hidden="1" customWidth="1"/>
    <col min="41" max="41" width="0" hidden="1" customWidth="1"/>
    <col min="42" max="42" width="129.7109375" hidden="1" customWidth="1"/>
    <col min="43" max="43" width="97" hidden="1" customWidth="1"/>
    <col min="44" max="47" width="0" hidden="1" customWidth="1"/>
  </cols>
  <sheetData>
    <row r="1" spans="1:42" x14ac:dyDescent="0.2">
      <c r="A1" s="10" t="str">
        <f>Source!B1</f>
        <v>Smeta.RU Flash  (495) 974-1589</v>
      </c>
    </row>
    <row r="2" spans="1:42" ht="14.25" x14ac:dyDescent="0.2">
      <c r="A2" s="11"/>
      <c r="B2" s="11"/>
      <c r="C2" s="11"/>
      <c r="D2" s="11"/>
      <c r="E2" s="11"/>
      <c r="F2" s="11"/>
      <c r="G2" s="11"/>
      <c r="H2" s="11"/>
      <c r="I2" s="11"/>
      <c r="J2" s="19" t="s">
        <v>295</v>
      </c>
      <c r="K2" s="19"/>
    </row>
    <row r="3" spans="1:42" ht="47.25" x14ac:dyDescent="0.25">
      <c r="A3" s="12" t="s">
        <v>320</v>
      </c>
      <c r="B3" s="12"/>
      <c r="C3" s="12"/>
      <c r="D3" s="12"/>
      <c r="E3" s="12"/>
      <c r="F3" s="12"/>
      <c r="G3" s="12"/>
      <c r="H3" s="12"/>
      <c r="I3" s="12"/>
      <c r="J3" s="12"/>
      <c r="K3" s="12"/>
      <c r="AP3" s="20" t="s">
        <v>296</v>
      </c>
    </row>
    <row r="4" spans="1:42" x14ac:dyDescent="0.2">
      <c r="A4" s="13" t="s">
        <v>272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42" ht="14.2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42" ht="15.75" x14ac:dyDescent="0.25">
      <c r="A6" s="12" t="str">
        <f>CONCATENATE( "ЛОКАЛЬНАЯ СМЕТА № ",IF(Source!F12&lt;&gt;"Новый объект", Source!F12, ""))</f>
        <v>ЛОКАЛЬНАЯ СМЕТА № 02-01-07 (1 этап)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42" ht="14.2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</row>
    <row r="8" spans="1:42" ht="15.75" x14ac:dyDescent="0.25">
      <c r="A8" s="12" t="str">
        <f>Source!G20</f>
        <v>КЛ в коллекторах от РП 60206 до ТП-новая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42" x14ac:dyDescent="0.2">
      <c r="A9" s="15" t="s">
        <v>273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42" ht="14.25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</row>
    <row r="11" spans="1:42" s="30" customFormat="1" ht="23.25" customHeight="1" x14ac:dyDescent="0.2">
      <c r="I11" s="31" t="s">
        <v>274</v>
      </c>
      <c r="J11" s="31" t="s">
        <v>275</v>
      </c>
    </row>
    <row r="12" spans="1:42" s="30" customFormat="1" ht="11.25" x14ac:dyDescent="0.2">
      <c r="E12" s="32" t="s">
        <v>276</v>
      </c>
      <c r="F12" s="32"/>
      <c r="G12" s="32"/>
      <c r="H12" s="32"/>
      <c r="I12" s="33">
        <f>I13+I14+I15+I16</f>
        <v>161.60999999999999</v>
      </c>
      <c r="J12" s="33">
        <f>J13+J14+J15+J16</f>
        <v>1515.4199999999998</v>
      </c>
      <c r="K12" s="34" t="s">
        <v>316</v>
      </c>
    </row>
    <row r="13" spans="1:42" s="30" customFormat="1" ht="11.25" x14ac:dyDescent="0.2">
      <c r="E13" s="35" t="s">
        <v>20</v>
      </c>
      <c r="F13" s="35"/>
      <c r="G13" s="35"/>
      <c r="H13" s="35"/>
      <c r="I13" s="36">
        <f>ROUND(SUM(X1:X272)/1000, 2)</f>
        <v>41.15</v>
      </c>
      <c r="J13" s="36">
        <f>ROUND((Source!F218)/1000, 2)</f>
        <v>380.58</v>
      </c>
      <c r="K13" s="30" t="s">
        <v>316</v>
      </c>
    </row>
    <row r="14" spans="1:42" s="30" customFormat="1" ht="11.25" x14ac:dyDescent="0.2">
      <c r="E14" s="35" t="s">
        <v>277</v>
      </c>
      <c r="F14" s="35"/>
      <c r="G14" s="35"/>
      <c r="H14" s="35"/>
      <c r="I14" s="36">
        <f>ROUND(SUM(Y1:Y272)/1000, 2)</f>
        <v>120.46</v>
      </c>
      <c r="J14" s="36">
        <f>ROUND((Source!F219)/1000, 2)</f>
        <v>1134.8399999999999</v>
      </c>
      <c r="K14" s="30" t="s">
        <v>316</v>
      </c>
    </row>
    <row r="15" spans="1:42" s="30" customFormat="1" ht="11.25" x14ac:dyDescent="0.2">
      <c r="E15" s="35" t="s">
        <v>278</v>
      </c>
      <c r="F15" s="35"/>
      <c r="G15" s="35"/>
      <c r="H15" s="35"/>
      <c r="I15" s="36">
        <f>ROUND(SUM(Z1:Z272)/1000, 2)</f>
        <v>0</v>
      </c>
      <c r="J15" s="36">
        <f>ROUND((Source!F210)/1000, 2)</f>
        <v>0</v>
      </c>
      <c r="K15" s="30" t="s">
        <v>316</v>
      </c>
    </row>
    <row r="16" spans="1:42" s="30" customFormat="1" ht="11.25" x14ac:dyDescent="0.2">
      <c r="E16" s="35" t="s">
        <v>279</v>
      </c>
      <c r="F16" s="35"/>
      <c r="G16" s="35"/>
      <c r="H16" s="35"/>
      <c r="I16" s="36">
        <f>ROUND(SUM(AA1:AA272)/1000, 2)</f>
        <v>0</v>
      </c>
      <c r="J16" s="36">
        <f>ROUND((Source!F220+Source!F221)/1000, 2)</f>
        <v>0</v>
      </c>
      <c r="K16" s="30" t="s">
        <v>316</v>
      </c>
    </row>
    <row r="17" spans="1:42" s="30" customFormat="1" ht="11.25" x14ac:dyDescent="0.2">
      <c r="E17" s="35" t="s">
        <v>280</v>
      </c>
      <c r="F17" s="35"/>
      <c r="G17" s="35"/>
      <c r="H17" s="35"/>
      <c r="I17" s="36">
        <f>ROUND(SUM(W1:W272)/1000, 2)</f>
        <v>5.73</v>
      </c>
      <c r="J17" s="36">
        <f>(Source!F216+ Source!F215)/1000</f>
        <v>174.61260000000001</v>
      </c>
      <c r="K17" s="30" t="s">
        <v>316</v>
      </c>
    </row>
    <row r="18" spans="1:42" s="30" customFormat="1" ht="11.25" x14ac:dyDescent="0.2">
      <c r="E18" s="35" t="s">
        <v>281</v>
      </c>
      <c r="F18" s="35"/>
      <c r="G18" s="35"/>
      <c r="H18" s="35"/>
      <c r="I18" s="36">
        <f>SUM(AB1:AB272)</f>
        <v>442.14964653908402</v>
      </c>
      <c r="J18" s="36"/>
      <c r="K18" s="30" t="s">
        <v>282</v>
      </c>
    </row>
    <row r="19" spans="1:42" s="30" customFormat="1" ht="11.25" hidden="1" x14ac:dyDescent="0.2">
      <c r="E19" s="35" t="s">
        <v>283</v>
      </c>
      <c r="F19" s="35"/>
      <c r="G19" s="35"/>
      <c r="H19" s="35"/>
      <c r="I19" s="36"/>
      <c r="J19" s="36"/>
    </row>
    <row r="20" spans="1:42" s="30" customFormat="1" ht="11.25" hidden="1" x14ac:dyDescent="0.2">
      <c r="E20" s="37" t="s">
        <v>181</v>
      </c>
      <c r="F20" s="37"/>
      <c r="G20" s="37"/>
      <c r="H20" s="37"/>
      <c r="I20" s="36">
        <f>ROUND(SUM(AE1:AE272)/1000, 2)</f>
        <v>0</v>
      </c>
      <c r="J20" s="36">
        <f>SUM(AF1:AF272)/1000</f>
        <v>0</v>
      </c>
      <c r="K20" s="30" t="s">
        <v>316</v>
      </c>
    </row>
    <row r="21" spans="1:42" s="30" customFormat="1" ht="11.25" x14ac:dyDescent="0.2">
      <c r="F21" s="38"/>
      <c r="G21" s="38"/>
      <c r="H21" s="38"/>
      <c r="I21" s="36"/>
      <c r="J21" s="36"/>
    </row>
    <row r="22" spans="1:42" s="9" customFormat="1" x14ac:dyDescent="0.2">
      <c r="A22" s="9" t="s">
        <v>297</v>
      </c>
      <c r="F22" s="41"/>
      <c r="G22" s="41"/>
      <c r="H22" s="41"/>
      <c r="I22" s="42"/>
      <c r="J22" s="42"/>
    </row>
    <row r="23" spans="1:42" s="9" customFormat="1" x14ac:dyDescent="0.2">
      <c r="A23" s="43" t="s">
        <v>298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AP23" s="44" t="s">
        <v>298</v>
      </c>
    </row>
    <row r="24" spans="1:42" s="30" customFormat="1" ht="78.75" x14ac:dyDescent="0.2">
      <c r="A24" s="39" t="s">
        <v>284</v>
      </c>
      <c r="B24" s="39" t="s">
        <v>285</v>
      </c>
      <c r="C24" s="39" t="s">
        <v>286</v>
      </c>
      <c r="D24" s="39" t="s">
        <v>287</v>
      </c>
      <c r="E24" s="39" t="s">
        <v>288</v>
      </c>
      <c r="F24" s="39" t="s">
        <v>289</v>
      </c>
      <c r="G24" s="40" t="s">
        <v>290</v>
      </c>
      <c r="H24" s="40" t="s">
        <v>291</v>
      </c>
      <c r="I24" s="39" t="s">
        <v>292</v>
      </c>
      <c r="J24" s="39" t="s">
        <v>293</v>
      </c>
      <c r="K24" s="39" t="s">
        <v>294</v>
      </c>
    </row>
    <row r="25" spans="1:42" ht="14.25" x14ac:dyDescent="0.2">
      <c r="A25" s="18">
        <v>1</v>
      </c>
      <c r="B25" s="18">
        <v>2</v>
      </c>
      <c r="C25" s="18">
        <v>3</v>
      </c>
      <c r="D25" s="18">
        <v>4</v>
      </c>
      <c r="E25" s="18">
        <v>5</v>
      </c>
      <c r="F25" s="18">
        <v>6</v>
      </c>
      <c r="G25" s="18">
        <v>7</v>
      </c>
      <c r="H25" s="18">
        <v>8</v>
      </c>
      <c r="I25" s="18">
        <v>9</v>
      </c>
      <c r="J25" s="18">
        <v>10</v>
      </c>
      <c r="K25" s="18">
        <v>11</v>
      </c>
    </row>
    <row r="27" spans="1:42" x14ac:dyDescent="0.25">
      <c r="A27" s="21" t="str">
        <f>CONCATENATE("Локальная смета: ",IF(Source!G20&lt;&gt;"Новая локальная смета", Source!G20, ""))</f>
        <v>Локальная смета: КЛ в коллекторах от РП 60206 до ТП-новая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9" spans="1:42" s="9" customFormat="1" ht="45.75" customHeight="1" x14ac:dyDescent="0.2">
      <c r="B29" s="45" t="str">
        <f>Source!G24</f>
        <v>К=1,2 - Гл.4.Прил.2.2.п.2.2.3_04.00.01.01.001  Наименование: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</v>
      </c>
      <c r="C29" s="45"/>
      <c r="D29" s="45"/>
      <c r="E29" s="45"/>
      <c r="F29" s="45"/>
      <c r="G29" s="45"/>
      <c r="H29" s="45"/>
      <c r="I29" s="45"/>
      <c r="J29" s="45"/>
      <c r="K29" s="45"/>
      <c r="AN29" s="46" t="str">
        <f>Source!G24</f>
        <v>К=1,2 - Гл.4.Прил.2.2.п.2.2.3_04.00.01.01.001  Наименование: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</v>
      </c>
    </row>
    <row r="30" spans="1:42" s="9" customFormat="1" x14ac:dyDescent="0.2"/>
    <row r="31" spans="1:42" s="9" customFormat="1" ht="28.5" customHeight="1" x14ac:dyDescent="0.2">
      <c r="B31" s="45" t="str">
        <f>Source!G25</f>
        <v>К=1,1 - Гл.6.Прил.2.2.п.2.2.2_06.00.01.02.001  Наименование: При производстве ремонтно-строительных работ в закрытых сооружениях и помещениях (коллекторах, резервуарах, бункерах, камерах и т.п.), верхняя отметка которых находится ниже 3 м от поверхности земли</v>
      </c>
      <c r="C31" s="45"/>
      <c r="D31" s="45"/>
      <c r="E31" s="45"/>
      <c r="F31" s="45"/>
      <c r="G31" s="45"/>
      <c r="H31" s="45"/>
      <c r="I31" s="45"/>
      <c r="J31" s="45"/>
      <c r="K31" s="45"/>
      <c r="AN31" s="46" t="str">
        <f>Source!G25</f>
        <v>К=1,1 - Гл.6.Прил.2.2.п.2.2.2_06.00.01.02.001  Наименование: При производстве ремонтно-строительных работ в закрытых сооружениях и помещениях (коллекторах, резервуарах, бункерах, камерах и т.п.), верхняя отметка которых находится ниже 3 м от поверхности земли</v>
      </c>
    </row>
    <row r="32" spans="1:42" s="9" customFormat="1" x14ac:dyDescent="0.2"/>
    <row r="33" spans="1:35" s="9" customFormat="1" x14ac:dyDescent="0.2">
      <c r="A33" s="47" t="str">
        <f>CONCATENATE("Раздел: ",IF(Source!G27&lt;&gt;"Новый раздел", Source!G27, ""))</f>
        <v>Раздел: Прокладка ВОЛС в коллекторе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  <row r="34" spans="1:35" s="9" customFormat="1" x14ac:dyDescent="0.2"/>
    <row r="35" spans="1:35" s="9" customFormat="1" x14ac:dyDescent="0.2">
      <c r="A35" s="47" t="str">
        <f>CONCATENATE("Подраздел: ",IF(Source!G31&lt;&gt;"Новый подраздел", Source!G31, ""))</f>
        <v>Подраздел: Строительные работы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</row>
    <row r="36" spans="1:35" s="9" customFormat="1" ht="38.25" x14ac:dyDescent="0.2">
      <c r="A36" s="48">
        <v>1</v>
      </c>
      <c r="B36" s="48" t="str">
        <f>Source!F35</f>
        <v>6.69-3-2</v>
      </c>
      <c r="C36" s="48" t="s">
        <v>23</v>
      </c>
      <c r="D36" s="49" t="str">
        <f>Source!H35</f>
        <v>100 отверстий</v>
      </c>
      <c r="E36" s="50">
        <f>Source!I35</f>
        <v>0.06</v>
      </c>
      <c r="F36" s="51"/>
      <c r="G36" s="52"/>
      <c r="H36" s="50"/>
      <c r="I36" s="51"/>
      <c r="J36" s="50"/>
      <c r="K36" s="51"/>
      <c r="Q36" s="9">
        <f>ROUND((Source!DN35/100)*ROUND((ROUND((Source!AF35*Source!AV35*Source!I35),2)),2), 2)</f>
        <v>166.78</v>
      </c>
      <c r="R36" s="9">
        <f>Source!X35</f>
        <v>4189.78</v>
      </c>
      <c r="S36" s="9">
        <f>ROUND((Source!DO35/100)*ROUND((ROUND((Source!AF35*Source!AV35*Source!I35),2)),2), 2)</f>
        <v>128.30000000000001</v>
      </c>
      <c r="T36" s="9">
        <f>Source!Y35</f>
        <v>2290.41</v>
      </c>
      <c r="U36" s="9">
        <f>ROUND((175/100)*ROUND((ROUND((Source!AE35*Source!AV35*Source!I35),2)),2), 2)</f>
        <v>85.35</v>
      </c>
      <c r="V36" s="9">
        <f>ROUND((160/100)*ROUND(ROUND((ROUND((Source!AE35*Source!AV35*Source!I35),2)*Source!BS35),2), 2), 2)</f>
        <v>2378.42</v>
      </c>
      <c r="AI36" s="9">
        <v>0</v>
      </c>
    </row>
    <row r="37" spans="1:35" s="9" customFormat="1" x14ac:dyDescent="0.2">
      <c r="C37" s="22" t="str">
        <f>"Объем: "&amp;Source!I35&amp;"=6/"&amp;"100"</f>
        <v>Объем: 0,06=6/100</v>
      </c>
    </row>
    <row r="38" spans="1:35" s="9" customFormat="1" x14ac:dyDescent="0.2">
      <c r="A38" s="48"/>
      <c r="B38" s="48"/>
      <c r="C38" s="48" t="s">
        <v>299</v>
      </c>
      <c r="D38" s="49"/>
      <c r="E38" s="50"/>
      <c r="F38" s="51">
        <f>Source!AO35</f>
        <v>2210.31</v>
      </c>
      <c r="G38" s="52" t="str">
        <f>Source!DG35</f>
        <v>)*1,2)*1,1</v>
      </c>
      <c r="H38" s="50">
        <f>Source!AV35</f>
        <v>1.0469999999999999</v>
      </c>
      <c r="I38" s="51">
        <f>ROUND((ROUND((Source!AF35*Source!AV35*Source!I35),2)),2)</f>
        <v>183.28</v>
      </c>
      <c r="J38" s="50">
        <f>IF(Source!BA35&lt;&gt; 0, Source!BA35, 1)</f>
        <v>30.48</v>
      </c>
      <c r="K38" s="51">
        <f>Source!S35</f>
        <v>5586.37</v>
      </c>
      <c r="W38" s="9">
        <f>I38</f>
        <v>183.28</v>
      </c>
    </row>
    <row r="39" spans="1:35" s="9" customFormat="1" x14ac:dyDescent="0.2">
      <c r="A39" s="48"/>
      <c r="B39" s="48"/>
      <c r="C39" s="48" t="s">
        <v>300</v>
      </c>
      <c r="D39" s="49"/>
      <c r="E39" s="50"/>
      <c r="F39" s="51">
        <f>Source!AM35</f>
        <v>1630.07</v>
      </c>
      <c r="G39" s="52" t="str">
        <f>Source!DE35</f>
        <v>)*1,2)*1,1</v>
      </c>
      <c r="H39" s="50">
        <f>Source!AV35</f>
        <v>1.0469999999999999</v>
      </c>
      <c r="I39" s="51">
        <f>(ROUND((ROUND(((((Source!ET35*1.2)*1.1))*Source!AV35*Source!I35),2)),2)+ROUND((ROUND(((Source!AE35-(((Source!EU35*1.2)*1.1)))*Source!AV35*Source!I35),2)),2))</f>
        <v>135.16999999999999</v>
      </c>
      <c r="J39" s="50">
        <f>IF(Source!BB35&lt;&gt; 0, Source!BB35, 1)</f>
        <v>17.37</v>
      </c>
      <c r="K39" s="51">
        <f>Source!Q35</f>
        <v>2347.9</v>
      </c>
    </row>
    <row r="40" spans="1:35" s="9" customFormat="1" x14ac:dyDescent="0.2">
      <c r="A40" s="48"/>
      <c r="B40" s="48"/>
      <c r="C40" s="48" t="s">
        <v>301</v>
      </c>
      <c r="D40" s="49"/>
      <c r="E40" s="50"/>
      <c r="F40" s="51">
        <f>Source!AN35</f>
        <v>588.09</v>
      </c>
      <c r="G40" s="52" t="str">
        <f>Source!DF35</f>
        <v>)*1,2)*1,1</v>
      </c>
      <c r="H40" s="50">
        <f>Source!AV35</f>
        <v>1.0469999999999999</v>
      </c>
      <c r="I40" s="53">
        <f>ROUND((ROUND((Source!AE35*Source!AV35*Source!I35),2)),2)</f>
        <v>48.77</v>
      </c>
      <c r="J40" s="50">
        <f>IF(Source!BS35&lt;&gt; 0, Source!BS35, 1)</f>
        <v>30.48</v>
      </c>
      <c r="K40" s="53">
        <f>Source!R35</f>
        <v>1486.51</v>
      </c>
      <c r="W40" s="9">
        <f>I40</f>
        <v>48.77</v>
      </c>
    </row>
    <row r="41" spans="1:35" s="9" customFormat="1" x14ac:dyDescent="0.2">
      <c r="A41" s="48"/>
      <c r="B41" s="48"/>
      <c r="C41" s="48" t="s">
        <v>302</v>
      </c>
      <c r="D41" s="49" t="s">
        <v>303</v>
      </c>
      <c r="E41" s="50">
        <f>Source!DN35</f>
        <v>91</v>
      </c>
      <c r="F41" s="51"/>
      <c r="G41" s="52"/>
      <c r="H41" s="50"/>
      <c r="I41" s="51">
        <f>SUM(Q36:Q40)</f>
        <v>166.78</v>
      </c>
      <c r="J41" s="50">
        <f>Source!BZ35</f>
        <v>75</v>
      </c>
      <c r="K41" s="51">
        <f>SUM(R36:R40)</f>
        <v>4189.78</v>
      </c>
    </row>
    <row r="42" spans="1:35" s="9" customFormat="1" x14ac:dyDescent="0.2">
      <c r="A42" s="48"/>
      <c r="B42" s="48"/>
      <c r="C42" s="48" t="s">
        <v>304</v>
      </c>
      <c r="D42" s="49" t="s">
        <v>303</v>
      </c>
      <c r="E42" s="50">
        <f>Source!DO35</f>
        <v>70</v>
      </c>
      <c r="F42" s="51"/>
      <c r="G42" s="52"/>
      <c r="H42" s="50"/>
      <c r="I42" s="51">
        <f>SUM(S36:S41)</f>
        <v>128.30000000000001</v>
      </c>
      <c r="J42" s="50">
        <f>Source!CA35</f>
        <v>41</v>
      </c>
      <c r="K42" s="51">
        <f>SUM(T36:T41)</f>
        <v>2290.41</v>
      </c>
    </row>
    <row r="43" spans="1:35" s="9" customFormat="1" x14ac:dyDescent="0.2">
      <c r="A43" s="48"/>
      <c r="B43" s="48"/>
      <c r="C43" s="48" t="s">
        <v>305</v>
      </c>
      <c r="D43" s="49" t="s">
        <v>303</v>
      </c>
      <c r="E43" s="50">
        <f>175</f>
        <v>175</v>
      </c>
      <c r="F43" s="51"/>
      <c r="G43" s="52"/>
      <c r="H43" s="50"/>
      <c r="I43" s="51">
        <f>SUM(U36:U42)</f>
        <v>85.35</v>
      </c>
      <c r="J43" s="50">
        <f>160</f>
        <v>160</v>
      </c>
      <c r="K43" s="51">
        <f>SUM(V36:V42)</f>
        <v>2378.42</v>
      </c>
    </row>
    <row r="44" spans="1:35" s="9" customFormat="1" x14ac:dyDescent="0.2">
      <c r="A44" s="54"/>
      <c r="B44" s="54"/>
      <c r="C44" s="54" t="s">
        <v>306</v>
      </c>
      <c r="D44" s="55" t="s">
        <v>307</v>
      </c>
      <c r="E44" s="56">
        <f>Source!AQ35</f>
        <v>201.12</v>
      </c>
      <c r="F44" s="57"/>
      <c r="G44" s="58" t="str">
        <f>Source!DI35</f>
        <v>)*1,2)*1,1</v>
      </c>
      <c r="H44" s="56">
        <f>Source!AV35</f>
        <v>1.0469999999999999</v>
      </c>
      <c r="I44" s="57">
        <f>Source!U35</f>
        <v>16.677353087999997</v>
      </c>
      <c r="J44" s="56"/>
      <c r="K44" s="57"/>
      <c r="AB44" s="42">
        <f>I44</f>
        <v>16.677353087999997</v>
      </c>
    </row>
    <row r="45" spans="1:35" s="9" customFormat="1" x14ac:dyDescent="0.2">
      <c r="C45" s="59" t="s">
        <v>308</v>
      </c>
      <c r="H45" s="60">
        <f>I38+I39+I41+I42+I43+0</f>
        <v>698.88</v>
      </c>
      <c r="I45" s="60"/>
      <c r="J45" s="60">
        <f>K38+K39+K41+K42+K43+0</f>
        <v>16792.879999999997</v>
      </c>
      <c r="K45" s="60"/>
      <c r="O45" s="42">
        <f>I38+I39+I41+I42+I43+0</f>
        <v>698.88</v>
      </c>
      <c r="P45" s="42">
        <f>K38+K39+K41+K42+K43+0</f>
        <v>16792.879999999997</v>
      </c>
      <c r="X45" s="9">
        <f>IF(Source!BI35&lt;=1,I38+I39+I41+I42+I43-0, 0)</f>
        <v>698.88</v>
      </c>
      <c r="Y45" s="9">
        <f>IF(Source!BI35=2,I38+I39+I41+I42+I43-0, 0)</f>
        <v>0</v>
      </c>
      <c r="Z45" s="9">
        <f>IF(Source!BI35=3,I38+I39+I41+I42+I43-0, 0)</f>
        <v>0</v>
      </c>
      <c r="AA45" s="9">
        <f>IF(Source!BI35=4,I38+I39+I41+I42+I43,0)</f>
        <v>0</v>
      </c>
    </row>
    <row r="46" spans="1:35" s="9" customFormat="1" x14ac:dyDescent="0.2"/>
    <row r="47" spans="1:35" s="9" customFormat="1" ht="38.25" customHeight="1" x14ac:dyDescent="0.2">
      <c r="A47" s="48">
        <v>2</v>
      </c>
      <c r="B47" s="48" t="str">
        <f>Source!F36</f>
        <v>3.34-17-3</v>
      </c>
      <c r="C47" s="48" t="s">
        <v>34</v>
      </c>
      <c r="D47" s="66" t="str">
        <f>Source!H36</f>
        <v>1 канало-километр трубопровода</v>
      </c>
      <c r="E47" s="50">
        <f>Source!I36</f>
        <v>1E-3</v>
      </c>
      <c r="F47" s="51"/>
      <c r="G47" s="52"/>
      <c r="H47" s="50"/>
      <c r="I47" s="51"/>
      <c r="J47" s="50"/>
      <c r="K47" s="51"/>
      <c r="Q47" s="9">
        <f>ROUND((Source!DN36/100)*ROUND((ROUND((Source!AF36*Source!AV36*Source!I36),2)),2), 2)</f>
        <v>2.54</v>
      </c>
      <c r="R47" s="9">
        <f>Source!X36</f>
        <v>63.65</v>
      </c>
      <c r="S47" s="9">
        <f>ROUND((Source!DO36/100)*ROUND((ROUND((Source!AF36*Source!AV36*Source!I36),2)),2), 2)</f>
        <v>1.59</v>
      </c>
      <c r="T47" s="9">
        <f>Source!Y36</f>
        <v>28.37</v>
      </c>
      <c r="U47" s="9">
        <f>ROUND((175/100)*ROUND((ROUND((Source!AE36*Source!AV36*Source!I36),2)),2), 2)</f>
        <v>0</v>
      </c>
      <c r="V47" s="9">
        <f>ROUND((160/100)*ROUND(ROUND((ROUND((Source!AE36*Source!AV36*Source!I36),2)*Source!BS36),2), 2), 2)</f>
        <v>0</v>
      </c>
      <c r="AI47" s="9">
        <v>0</v>
      </c>
    </row>
    <row r="48" spans="1:35" s="9" customFormat="1" x14ac:dyDescent="0.2">
      <c r="C48" s="22" t="str">
        <f>"Объем: "&amp;Source!I36&amp;"=1/"&amp;"1000"</f>
        <v>Объем: 0,001=1/1000</v>
      </c>
    </row>
    <row r="49" spans="1:35" s="9" customFormat="1" x14ac:dyDescent="0.2">
      <c r="A49" s="48"/>
      <c r="B49" s="48"/>
      <c r="C49" s="48" t="s">
        <v>299</v>
      </c>
      <c r="D49" s="49"/>
      <c r="E49" s="50"/>
      <c r="F49" s="51">
        <f>Source!AO36</f>
        <v>1609.92</v>
      </c>
      <c r="G49" s="52" t="str">
        <f>Source!DG36</f>
        <v>)*1,2)*1,1</v>
      </c>
      <c r="H49" s="50">
        <f>Source!AV36</f>
        <v>1.0669999999999999</v>
      </c>
      <c r="I49" s="51">
        <f>ROUND((ROUND((Source!AF36*Source!AV36*Source!I36),2)),2)</f>
        <v>2.27</v>
      </c>
      <c r="J49" s="50">
        <f>IF(Source!BA36&lt;&gt; 0, Source!BA36, 1)</f>
        <v>30.48</v>
      </c>
      <c r="K49" s="51">
        <f>Source!S36</f>
        <v>69.19</v>
      </c>
      <c r="W49" s="9">
        <f>I49</f>
        <v>2.27</v>
      </c>
    </row>
    <row r="50" spans="1:35" s="9" customFormat="1" x14ac:dyDescent="0.2">
      <c r="A50" s="48"/>
      <c r="B50" s="48"/>
      <c r="C50" s="48" t="s">
        <v>309</v>
      </c>
      <c r="D50" s="49"/>
      <c r="E50" s="50"/>
      <c r="F50" s="51">
        <f>Source!AL36</f>
        <v>19554.14</v>
      </c>
      <c r="G50" s="52" t="str">
        <f>Source!DD36</f>
        <v>)*1)*1</v>
      </c>
      <c r="H50" s="50">
        <f>Source!AW36</f>
        <v>1.081</v>
      </c>
      <c r="I50" s="51">
        <f>ROUND((ROUND((Source!AC36*Source!AW36*Source!I36),2)),2)</f>
        <v>21.14</v>
      </c>
      <c r="J50" s="50">
        <f>IF(Source!BC36&lt;&gt; 0, Source!BC36, 1)</f>
        <v>7.56</v>
      </c>
      <c r="K50" s="51">
        <f>Source!P36</f>
        <v>159.82</v>
      </c>
    </row>
    <row r="51" spans="1:35" s="9" customFormat="1" ht="38.25" x14ac:dyDescent="0.2">
      <c r="A51" s="48" t="s">
        <v>39</v>
      </c>
      <c r="B51" s="48" t="str">
        <f>Source!F37</f>
        <v>1.12-3-25</v>
      </c>
      <c r="C51" s="48" t="s">
        <v>41</v>
      </c>
      <c r="D51" s="49" t="str">
        <f>Source!H37</f>
        <v>м</v>
      </c>
      <c r="E51" s="50">
        <f>Source!I37</f>
        <v>-1</v>
      </c>
      <c r="F51" s="51">
        <f>Source!AK37</f>
        <v>15.01</v>
      </c>
      <c r="G51" s="61" t="s">
        <v>3</v>
      </c>
      <c r="H51" s="50">
        <f>Source!AW37</f>
        <v>1.081</v>
      </c>
      <c r="I51" s="51">
        <f>ROUND((ROUND((Source!AC37*Source!AW37*Source!I37),2)),2)+(ROUND((ROUND(((Source!ET37)*Source!AV37*Source!I37),2)),2)+ROUND((ROUND(((Source!AE37-(Source!EU37))*Source!AV37*Source!I37),2)),2))+ROUND((ROUND((Source!AF37*Source!AV37*Source!I37),2)),2)</f>
        <v>-16.23</v>
      </c>
      <c r="J51" s="50">
        <f>IF(Source!BC37&lt;&gt; 0, Source!BC37, 1)</f>
        <v>9.08</v>
      </c>
      <c r="K51" s="51">
        <f>Source!O37</f>
        <v>-147.37</v>
      </c>
      <c r="Q51" s="9">
        <f>ROUND((Source!DN37/100)*ROUND((ROUND((Source!AF37*Source!AV37*Source!I37),2)),2), 2)</f>
        <v>0</v>
      </c>
      <c r="R51" s="9">
        <f>Source!X37</f>
        <v>0</v>
      </c>
      <c r="S51" s="9">
        <f>ROUND((Source!DO37/100)*ROUND((ROUND((Source!AF37*Source!AV37*Source!I37),2)),2), 2)</f>
        <v>0</v>
      </c>
      <c r="T51" s="9">
        <f>Source!Y37</f>
        <v>0</v>
      </c>
      <c r="U51" s="9">
        <f>ROUND((175/100)*ROUND((ROUND((Source!AE37*Source!AV37*Source!I37),2)),2), 2)</f>
        <v>0</v>
      </c>
      <c r="V51" s="9">
        <f>ROUND((160/100)*ROUND(ROUND((ROUND((Source!AE37*Source!AV37*Source!I37),2)*Source!BS37),2), 2), 2)</f>
        <v>0</v>
      </c>
      <c r="X51" s="9">
        <f>IF(Source!BI37&lt;=1,I51, 0)</f>
        <v>-16.23</v>
      </c>
      <c r="Y51" s="9">
        <f>IF(Source!BI37=2,I51, 0)</f>
        <v>0</v>
      </c>
      <c r="Z51" s="9">
        <f>IF(Source!BI37=3,I51, 0)</f>
        <v>0</v>
      </c>
      <c r="AA51" s="9">
        <f>IF(Source!BI37=4,I51, 0)</f>
        <v>0</v>
      </c>
      <c r="AI51" s="9">
        <v>3</v>
      </c>
    </row>
    <row r="52" spans="1:35" s="9" customFormat="1" x14ac:dyDescent="0.2">
      <c r="A52" s="48"/>
      <c r="B52" s="48"/>
      <c r="C52" s="48" t="s">
        <v>302</v>
      </c>
      <c r="D52" s="49" t="s">
        <v>303</v>
      </c>
      <c r="E52" s="50">
        <f>Source!DN36</f>
        <v>112</v>
      </c>
      <c r="F52" s="51"/>
      <c r="G52" s="52"/>
      <c r="H52" s="50"/>
      <c r="I52" s="51">
        <f>SUM(Q47:Q51)</f>
        <v>2.54</v>
      </c>
      <c r="J52" s="50">
        <f>Source!BZ36</f>
        <v>92</v>
      </c>
      <c r="K52" s="51">
        <f>SUM(R47:R51)</f>
        <v>63.65</v>
      </c>
    </row>
    <row r="53" spans="1:35" s="9" customFormat="1" x14ac:dyDescent="0.2">
      <c r="A53" s="48"/>
      <c r="B53" s="48"/>
      <c r="C53" s="48" t="s">
        <v>304</v>
      </c>
      <c r="D53" s="49" t="s">
        <v>303</v>
      </c>
      <c r="E53" s="50">
        <f>Source!DO36</f>
        <v>70</v>
      </c>
      <c r="F53" s="51"/>
      <c r="G53" s="52"/>
      <c r="H53" s="50"/>
      <c r="I53" s="51">
        <f>SUM(S47:S52)</f>
        <v>1.59</v>
      </c>
      <c r="J53" s="50">
        <f>Source!CA36</f>
        <v>41</v>
      </c>
      <c r="K53" s="51">
        <f>SUM(T47:T52)</f>
        <v>28.37</v>
      </c>
    </row>
    <row r="54" spans="1:35" s="9" customFormat="1" x14ac:dyDescent="0.2">
      <c r="A54" s="54"/>
      <c r="B54" s="54"/>
      <c r="C54" s="54" t="s">
        <v>306</v>
      </c>
      <c r="D54" s="55" t="s">
        <v>307</v>
      </c>
      <c r="E54" s="56">
        <f>Source!AQ36</f>
        <v>144</v>
      </c>
      <c r="F54" s="57"/>
      <c r="G54" s="58" t="str">
        <f>Source!DI36</f>
        <v>)*1,2)*1,1</v>
      </c>
      <c r="H54" s="56">
        <f>Source!AV36</f>
        <v>1.0669999999999999</v>
      </c>
      <c r="I54" s="57">
        <f>Source!U36</f>
        <v>0.20281535999999997</v>
      </c>
      <c r="J54" s="56"/>
      <c r="K54" s="57"/>
      <c r="AB54" s="42">
        <f>I54</f>
        <v>0.20281535999999997</v>
      </c>
    </row>
    <row r="55" spans="1:35" s="9" customFormat="1" x14ac:dyDescent="0.2">
      <c r="C55" s="59" t="s">
        <v>308</v>
      </c>
      <c r="H55" s="60">
        <f>I49+I50+I52+I53+SUM(I51:I51)</f>
        <v>11.309999999999999</v>
      </c>
      <c r="I55" s="60"/>
      <c r="J55" s="60">
        <f>K49+K50+K52+K53+SUM(K51:K51)</f>
        <v>173.65999999999997</v>
      </c>
      <c r="K55" s="60"/>
      <c r="O55" s="42">
        <f>I49+I50+I52+I53+SUM(I51:I51)</f>
        <v>11.309999999999999</v>
      </c>
      <c r="P55" s="42">
        <f>K49+K50+K52+K53+SUM(K51:K51)</f>
        <v>173.65999999999997</v>
      </c>
      <c r="X55" s="9">
        <f>IF(Source!BI36&lt;=1,I49+I50+I52+I53-0, 0)</f>
        <v>27.54</v>
      </c>
      <c r="Y55" s="9">
        <f>IF(Source!BI36=2,I49+I50+I52+I53-0, 0)</f>
        <v>0</v>
      </c>
      <c r="Z55" s="9">
        <f>IF(Source!BI36=3,I49+I50+I52+I53-0, 0)</f>
        <v>0</v>
      </c>
      <c r="AA55" s="9">
        <f>IF(Source!BI36=4,I49+I50+I52+I53,0)</f>
        <v>0</v>
      </c>
    </row>
    <row r="56" spans="1:35" s="9" customFormat="1" x14ac:dyDescent="0.2"/>
    <row r="57" spans="1:35" s="9" customFormat="1" ht="38.25" x14ac:dyDescent="0.2">
      <c r="A57" s="54">
        <v>3</v>
      </c>
      <c r="B57" s="54" t="str">
        <f>Source!F38</f>
        <v>1.12-3-26</v>
      </c>
      <c r="C57" s="54" t="s">
        <v>46</v>
      </c>
      <c r="D57" s="55" t="str">
        <f>Source!H38</f>
        <v>м</v>
      </c>
      <c r="E57" s="56">
        <f>Source!I38</f>
        <v>1</v>
      </c>
      <c r="F57" s="57">
        <f>Source!AL38</f>
        <v>24.4</v>
      </c>
      <c r="G57" s="58" t="str">
        <f>Source!DD38</f>
        <v/>
      </c>
      <c r="H57" s="56">
        <f>Source!AW38</f>
        <v>1</v>
      </c>
      <c r="I57" s="57">
        <f>ROUND((ROUND((Source!AC38*Source!AW38*Source!I38),2)),2)</f>
        <v>24.4</v>
      </c>
      <c r="J57" s="56">
        <f>IF(Source!BC38&lt;&gt; 0, Source!BC38, 1)</f>
        <v>9.41</v>
      </c>
      <c r="K57" s="57">
        <f>Source!P38</f>
        <v>229.6</v>
      </c>
      <c r="Q57" s="9">
        <f>ROUND((Source!DN38/100)*ROUND((ROUND((Source!AF38*Source!AV38*Source!I38),2)),2), 2)</f>
        <v>0</v>
      </c>
      <c r="R57" s="9">
        <f>Source!X38</f>
        <v>0</v>
      </c>
      <c r="S57" s="9">
        <f>ROUND((Source!DO38/100)*ROUND((ROUND((Source!AF38*Source!AV38*Source!I38),2)),2), 2)</f>
        <v>0</v>
      </c>
      <c r="T57" s="9">
        <f>Source!Y38</f>
        <v>0</v>
      </c>
      <c r="U57" s="9">
        <f>ROUND((175/100)*ROUND((ROUND((Source!AE38*Source!AV38*Source!I38),2)),2), 2)</f>
        <v>0</v>
      </c>
      <c r="V57" s="9">
        <f>ROUND((160/100)*ROUND(ROUND((ROUND((Source!AE38*Source!AV38*Source!I38),2)*Source!BS38),2), 2), 2)</f>
        <v>0</v>
      </c>
      <c r="AI57" s="9">
        <v>3</v>
      </c>
    </row>
    <row r="58" spans="1:35" s="9" customFormat="1" x14ac:dyDescent="0.2">
      <c r="C58" s="59" t="s">
        <v>308</v>
      </c>
      <c r="H58" s="60">
        <f>I57+0</f>
        <v>24.4</v>
      </c>
      <c r="I58" s="60"/>
      <c r="J58" s="60">
        <f>K57+0</f>
        <v>229.6</v>
      </c>
      <c r="K58" s="60"/>
      <c r="O58" s="42">
        <f>I57+0</f>
        <v>24.4</v>
      </c>
      <c r="P58" s="42">
        <f>K57+0</f>
        <v>229.6</v>
      </c>
      <c r="X58" s="9">
        <f>IF(Source!BI38&lt;=1,I57-0, 0)</f>
        <v>24.4</v>
      </c>
      <c r="Y58" s="9">
        <f>IF(Source!BI38=2,I57-0, 0)</f>
        <v>0</v>
      </c>
      <c r="Z58" s="9">
        <f>IF(Source!BI38=3,I57-0, 0)</f>
        <v>0</v>
      </c>
      <c r="AA58" s="9">
        <f>IF(Source!BI38=4,I57,0)</f>
        <v>0</v>
      </c>
    </row>
    <row r="59" spans="1:35" s="9" customFormat="1" x14ac:dyDescent="0.2"/>
    <row r="60" spans="1:35" s="9" customFormat="1" ht="25.5" x14ac:dyDescent="0.2">
      <c r="A60" s="48">
        <v>4</v>
      </c>
      <c r="B60" s="48" t="str">
        <f>Source!F39</f>
        <v>6.69-9-3</v>
      </c>
      <c r="C60" s="48" t="s">
        <v>53</v>
      </c>
      <c r="D60" s="49" t="str">
        <f>Source!H39</f>
        <v>100 отверстий</v>
      </c>
      <c r="E60" s="50">
        <f>Source!I39</f>
        <v>0.06</v>
      </c>
      <c r="F60" s="51"/>
      <c r="G60" s="52"/>
      <c r="H60" s="50"/>
      <c r="I60" s="51"/>
      <c r="J60" s="50"/>
      <c r="K60" s="51"/>
      <c r="Q60" s="9">
        <f>ROUND((Source!DN39/100)*ROUND((ROUND((Source!AF39*Source!AV39*Source!I39),2)),2), 2)</f>
        <v>112.76</v>
      </c>
      <c r="R60" s="9">
        <f>Source!X39</f>
        <v>2832.59</v>
      </c>
      <c r="S60" s="9">
        <f>ROUND((Source!DO39/100)*ROUND((ROUND((Source!AF39*Source!AV39*Source!I39),2)),2), 2)</f>
        <v>86.74</v>
      </c>
      <c r="T60" s="9">
        <f>Source!Y39</f>
        <v>1548.48</v>
      </c>
      <c r="U60" s="9">
        <f>ROUND((175/100)*ROUND((ROUND((Source!AE39*Source!AV39*Source!I39),2)),2), 2)</f>
        <v>0</v>
      </c>
      <c r="V60" s="9">
        <f>ROUND((160/100)*ROUND(ROUND((ROUND((Source!AE39*Source!AV39*Source!I39),2)*Source!BS39),2), 2), 2)</f>
        <v>0</v>
      </c>
      <c r="AI60" s="9">
        <v>0</v>
      </c>
    </row>
    <row r="61" spans="1:35" s="9" customFormat="1" x14ac:dyDescent="0.2">
      <c r="C61" s="22" t="str">
        <f>"Объем: "&amp;Source!I39&amp;"=6/"&amp;"100"</f>
        <v>Объем: 0,06=6/100</v>
      </c>
    </row>
    <row r="62" spans="1:35" s="9" customFormat="1" x14ac:dyDescent="0.2">
      <c r="A62" s="48"/>
      <c r="B62" s="48"/>
      <c r="C62" s="48" t="s">
        <v>299</v>
      </c>
      <c r="D62" s="49"/>
      <c r="E62" s="50"/>
      <c r="F62" s="51">
        <f>Source!AO39</f>
        <v>1494.24</v>
      </c>
      <c r="G62" s="52" t="str">
        <f>Source!DG39</f>
        <v>)*1,2)*1,1</v>
      </c>
      <c r="H62" s="50">
        <f>Source!AV39</f>
        <v>1.0469999999999999</v>
      </c>
      <c r="I62" s="51">
        <f>ROUND((ROUND((Source!AF39*Source!AV39*Source!I39),2)),2)</f>
        <v>123.91</v>
      </c>
      <c r="J62" s="50">
        <f>IF(Source!BA39&lt;&gt; 0, Source!BA39, 1)</f>
        <v>30.48</v>
      </c>
      <c r="K62" s="51">
        <f>Source!S39</f>
        <v>3776.78</v>
      </c>
      <c r="W62" s="9">
        <f>I62</f>
        <v>123.91</v>
      </c>
    </row>
    <row r="63" spans="1:35" s="9" customFormat="1" x14ac:dyDescent="0.2">
      <c r="A63" s="48"/>
      <c r="B63" s="48"/>
      <c r="C63" s="48" t="s">
        <v>309</v>
      </c>
      <c r="D63" s="49"/>
      <c r="E63" s="50"/>
      <c r="F63" s="51">
        <f>Source!AL39</f>
        <v>862.81</v>
      </c>
      <c r="G63" s="52" t="str">
        <f>Source!DD39</f>
        <v>)*1)*1</v>
      </c>
      <c r="H63" s="50">
        <f>Source!AW39</f>
        <v>1.002</v>
      </c>
      <c r="I63" s="51">
        <f>ROUND((ROUND((Source!AC39*Source!AW39*Source!I39),2)),2)</f>
        <v>51.87</v>
      </c>
      <c r="J63" s="50">
        <f>IF(Source!BC39&lt;&gt; 0, Source!BC39, 1)</f>
        <v>5.14</v>
      </c>
      <c r="K63" s="51">
        <f>Source!P39</f>
        <v>266.61</v>
      </c>
    </row>
    <row r="64" spans="1:35" s="9" customFormat="1" x14ac:dyDescent="0.2">
      <c r="A64" s="48"/>
      <c r="B64" s="48"/>
      <c r="C64" s="48" t="s">
        <v>302</v>
      </c>
      <c r="D64" s="49" t="s">
        <v>303</v>
      </c>
      <c r="E64" s="50">
        <f>Source!DN39</f>
        <v>91</v>
      </c>
      <c r="F64" s="51"/>
      <c r="G64" s="52"/>
      <c r="H64" s="50"/>
      <c r="I64" s="51">
        <f>SUM(Q60:Q63)</f>
        <v>112.76</v>
      </c>
      <c r="J64" s="50">
        <f>Source!BZ39</f>
        <v>75</v>
      </c>
      <c r="K64" s="51">
        <f>SUM(R60:R63)</f>
        <v>2832.59</v>
      </c>
    </row>
    <row r="65" spans="1:35" s="9" customFormat="1" x14ac:dyDescent="0.2">
      <c r="A65" s="48"/>
      <c r="B65" s="48"/>
      <c r="C65" s="48" t="s">
        <v>304</v>
      </c>
      <c r="D65" s="49" t="s">
        <v>303</v>
      </c>
      <c r="E65" s="50">
        <f>Source!DO39</f>
        <v>70</v>
      </c>
      <c r="F65" s="51"/>
      <c r="G65" s="52"/>
      <c r="H65" s="50"/>
      <c r="I65" s="51">
        <f>SUM(S60:S64)</f>
        <v>86.74</v>
      </c>
      <c r="J65" s="50">
        <f>Source!CA39</f>
        <v>41</v>
      </c>
      <c r="K65" s="51">
        <f>SUM(T60:T64)</f>
        <v>1548.48</v>
      </c>
    </row>
    <row r="66" spans="1:35" s="9" customFormat="1" x14ac:dyDescent="0.2">
      <c r="A66" s="54"/>
      <c r="B66" s="54"/>
      <c r="C66" s="54" t="s">
        <v>306</v>
      </c>
      <c r="D66" s="55" t="s">
        <v>307</v>
      </c>
      <c r="E66" s="56">
        <f>Source!AQ39</f>
        <v>132</v>
      </c>
      <c r="F66" s="57"/>
      <c r="G66" s="58" t="str">
        <f>Source!DI39</f>
        <v>)*1,2)*1,1</v>
      </c>
      <c r="H66" s="56">
        <f>Source!AV39</f>
        <v>1.0469999999999999</v>
      </c>
      <c r="I66" s="57">
        <f>Source!U39</f>
        <v>10.9457568</v>
      </c>
      <c r="J66" s="56"/>
      <c r="K66" s="57"/>
      <c r="AB66" s="42">
        <f>I66</f>
        <v>10.9457568</v>
      </c>
    </row>
    <row r="67" spans="1:35" s="9" customFormat="1" x14ac:dyDescent="0.2">
      <c r="C67" s="59" t="s">
        <v>308</v>
      </c>
      <c r="H67" s="60">
        <f>I62+I63+I64+I65+0</f>
        <v>375.28000000000003</v>
      </c>
      <c r="I67" s="60"/>
      <c r="J67" s="60">
        <f>K62+K63+K64+K65+0</f>
        <v>8424.4600000000009</v>
      </c>
      <c r="K67" s="60"/>
      <c r="O67" s="42">
        <f>I62+I63+I64+I65+0</f>
        <v>375.28000000000003</v>
      </c>
      <c r="P67" s="42">
        <f>K62+K63+K64+K65+0</f>
        <v>8424.4600000000009</v>
      </c>
      <c r="X67" s="9">
        <f>IF(Source!BI39&lt;=1,I62+I63+I64+I65-0, 0)</f>
        <v>375.28000000000003</v>
      </c>
      <c r="Y67" s="9">
        <f>IF(Source!BI39=2,I62+I63+I64+I65-0, 0)</f>
        <v>0</v>
      </c>
      <c r="Z67" s="9">
        <f>IF(Source!BI39=3,I62+I63+I64+I65-0, 0)</f>
        <v>0</v>
      </c>
      <c r="AA67" s="9">
        <f>IF(Source!BI39=4,I62+I63+I64+I65,0)</f>
        <v>0</v>
      </c>
    </row>
    <row r="68" spans="1:35" s="9" customFormat="1" x14ac:dyDescent="0.2"/>
    <row r="69" spans="1:35" s="9" customFormat="1" ht="38.25" x14ac:dyDescent="0.2">
      <c r="A69" s="54">
        <v>5</v>
      </c>
      <c r="B69" s="54" t="str">
        <f>Source!F40</f>
        <v>1.3-1-40</v>
      </c>
      <c r="C69" s="54" t="s">
        <v>57</v>
      </c>
      <c r="D69" s="55" t="str">
        <f>Source!H40</f>
        <v>м3</v>
      </c>
      <c r="E69" s="56">
        <f>Source!I40</f>
        <v>0.12</v>
      </c>
      <c r="F69" s="57">
        <f>Source!AL40</f>
        <v>735.27</v>
      </c>
      <c r="G69" s="58" t="str">
        <f>Source!DD40</f>
        <v/>
      </c>
      <c r="H69" s="56">
        <f>Source!AW40</f>
        <v>1</v>
      </c>
      <c r="I69" s="57">
        <f>ROUND((ROUND((Source!AC40*Source!AW40*Source!I40),2)),2)</f>
        <v>88.23</v>
      </c>
      <c r="J69" s="56">
        <f>IF(Source!BC40&lt;&gt; 0, Source!BC40, 1)</f>
        <v>8.7799999999999994</v>
      </c>
      <c r="K69" s="57">
        <f>Source!P40</f>
        <v>774.66</v>
      </c>
      <c r="Q69" s="9">
        <f>ROUND((Source!DN40/100)*ROUND((ROUND((Source!AF40*Source!AV40*Source!I40),2)),2), 2)</f>
        <v>0</v>
      </c>
      <c r="R69" s="9">
        <f>Source!X40</f>
        <v>0</v>
      </c>
      <c r="S69" s="9">
        <f>ROUND((Source!DO40/100)*ROUND((ROUND((Source!AF40*Source!AV40*Source!I40),2)),2), 2)</f>
        <v>0</v>
      </c>
      <c r="T69" s="9">
        <f>Source!Y40</f>
        <v>0</v>
      </c>
      <c r="U69" s="9">
        <f>ROUND((175/100)*ROUND((ROUND((Source!AE40*Source!AV40*Source!I40),2)),2), 2)</f>
        <v>0</v>
      </c>
      <c r="V69" s="9">
        <f>ROUND((160/100)*ROUND(ROUND((ROUND((Source!AE40*Source!AV40*Source!I40),2)*Source!BS40),2), 2), 2)</f>
        <v>0</v>
      </c>
      <c r="AI69" s="9">
        <v>3</v>
      </c>
    </row>
    <row r="70" spans="1:35" s="9" customFormat="1" x14ac:dyDescent="0.2">
      <c r="C70" s="59" t="s">
        <v>308</v>
      </c>
      <c r="H70" s="60">
        <f>I69+0</f>
        <v>88.23</v>
      </c>
      <c r="I70" s="60"/>
      <c r="J70" s="60">
        <f>K69+0</f>
        <v>774.66</v>
      </c>
      <c r="K70" s="60"/>
      <c r="O70" s="42">
        <f>I69+0</f>
        <v>88.23</v>
      </c>
      <c r="P70" s="42">
        <f>K69+0</f>
        <v>774.66</v>
      </c>
      <c r="X70" s="9">
        <f>IF(Source!BI40&lt;=1,I69-0, 0)</f>
        <v>88.23</v>
      </c>
      <c r="Y70" s="9">
        <f>IF(Source!BI40=2,I69-0, 0)</f>
        <v>0</v>
      </c>
      <c r="Z70" s="9">
        <f>IF(Source!BI40=3,I69-0, 0)</f>
        <v>0</v>
      </c>
      <c r="AA70" s="9">
        <f>IF(Source!BI40=4,I69,0)</f>
        <v>0</v>
      </c>
    </row>
    <row r="71" spans="1:35" s="9" customFormat="1" x14ac:dyDescent="0.2"/>
    <row r="72" spans="1:35" s="9" customFormat="1" x14ac:dyDescent="0.2">
      <c r="A72" s="54">
        <v>6</v>
      </c>
      <c r="B72" s="54" t="str">
        <f>Source!F41</f>
        <v>1.1-1-740</v>
      </c>
      <c r="C72" s="54" t="s">
        <v>62</v>
      </c>
      <c r="D72" s="55" t="str">
        <f>Source!H41</f>
        <v>кг</v>
      </c>
      <c r="E72" s="56">
        <f>Source!I41</f>
        <v>4</v>
      </c>
      <c r="F72" s="57">
        <f>Source!AL41</f>
        <v>9.86</v>
      </c>
      <c r="G72" s="58" t="str">
        <f>Source!DD41</f>
        <v/>
      </c>
      <c r="H72" s="56">
        <f>Source!AW41</f>
        <v>1</v>
      </c>
      <c r="I72" s="57">
        <f>ROUND((ROUND((Source!AC41*Source!AW41*Source!I41),2)),2)</f>
        <v>39.44</v>
      </c>
      <c r="J72" s="56">
        <f>IF(Source!BC41&lt;&gt; 0, Source!BC41, 1)</f>
        <v>10.41</v>
      </c>
      <c r="K72" s="57">
        <f>Source!P41</f>
        <v>410.57</v>
      </c>
      <c r="Q72" s="9">
        <f>ROUND((Source!DN41/100)*ROUND((ROUND((Source!AF41*Source!AV41*Source!I41),2)),2), 2)</f>
        <v>0</v>
      </c>
      <c r="R72" s="9">
        <f>Source!X41</f>
        <v>0</v>
      </c>
      <c r="S72" s="9">
        <f>ROUND((Source!DO41/100)*ROUND((ROUND((Source!AF41*Source!AV41*Source!I41),2)),2), 2)</f>
        <v>0</v>
      </c>
      <c r="T72" s="9">
        <f>Source!Y41</f>
        <v>0</v>
      </c>
      <c r="U72" s="9">
        <f>ROUND((175/100)*ROUND((ROUND((Source!AE41*Source!AV41*Source!I41),2)),2), 2)</f>
        <v>0</v>
      </c>
      <c r="V72" s="9">
        <f>ROUND((160/100)*ROUND(ROUND((ROUND((Source!AE41*Source!AV41*Source!I41),2)*Source!BS41),2), 2), 2)</f>
        <v>0</v>
      </c>
      <c r="AI72" s="9">
        <v>3</v>
      </c>
    </row>
    <row r="73" spans="1:35" s="9" customFormat="1" x14ac:dyDescent="0.2">
      <c r="C73" s="59" t="s">
        <v>308</v>
      </c>
      <c r="H73" s="60">
        <f>I72+0</f>
        <v>39.44</v>
      </c>
      <c r="I73" s="60"/>
      <c r="J73" s="60">
        <f>K72+0</f>
        <v>410.57</v>
      </c>
      <c r="K73" s="60"/>
      <c r="O73" s="42">
        <f>I72+0</f>
        <v>39.44</v>
      </c>
      <c r="P73" s="42">
        <f>K72+0</f>
        <v>410.57</v>
      </c>
      <c r="X73" s="9">
        <f>IF(Source!BI41&lt;=1,I72-0, 0)</f>
        <v>39.44</v>
      </c>
      <c r="Y73" s="9">
        <f>IF(Source!BI41=2,I72-0, 0)</f>
        <v>0</v>
      </c>
      <c r="Z73" s="9">
        <f>IF(Source!BI41=3,I72-0, 0)</f>
        <v>0</v>
      </c>
      <c r="AA73" s="9">
        <f>IF(Source!BI41=4,I72,0)</f>
        <v>0</v>
      </c>
    </row>
    <row r="74" spans="1:35" s="9" customFormat="1" x14ac:dyDescent="0.2"/>
    <row r="75" spans="1:35" s="9" customFormat="1" ht="40.5" customHeight="1" x14ac:dyDescent="0.2">
      <c r="A75" s="48">
        <v>7</v>
      </c>
      <c r="B75" s="48" t="str">
        <f>Source!F42</f>
        <v>6.69-28-19</v>
      </c>
      <c r="C75" s="48" t="s">
        <v>67</v>
      </c>
      <c r="D75" s="49" t="str">
        <f>Source!H42</f>
        <v>10 см проходки сверла</v>
      </c>
      <c r="E75" s="50">
        <f>Source!I42</f>
        <v>15</v>
      </c>
      <c r="F75" s="51"/>
      <c r="G75" s="52"/>
      <c r="H75" s="50"/>
      <c r="I75" s="51"/>
      <c r="J75" s="50"/>
      <c r="K75" s="51"/>
      <c r="Q75" s="9">
        <f>ROUND((Source!DN42/100)*ROUND((ROUND((Source!AF42*Source!AV42*Source!I42),2)),2), 2)</f>
        <v>235.81</v>
      </c>
      <c r="R75" s="9">
        <f>Source!X42</f>
        <v>5923.71</v>
      </c>
      <c r="S75" s="9">
        <f>ROUND((Source!DO42/100)*ROUND((ROUND((Source!AF42*Source!AV42*Source!I42),2)),2), 2)</f>
        <v>181.39</v>
      </c>
      <c r="T75" s="9">
        <f>Source!Y42</f>
        <v>3238.29</v>
      </c>
      <c r="U75" s="9">
        <f>ROUND((175/100)*ROUND((ROUND((Source!AE42*Source!AV42*Source!I42),2)),2), 2)</f>
        <v>0</v>
      </c>
      <c r="V75" s="9">
        <f>ROUND((160/100)*ROUND(ROUND((ROUND((Source!AE42*Source!AV42*Source!I42),2)*Source!BS42),2), 2), 2)</f>
        <v>0</v>
      </c>
      <c r="AI75" s="9">
        <v>0</v>
      </c>
    </row>
    <row r="76" spans="1:35" s="9" customFormat="1" x14ac:dyDescent="0.2">
      <c r="C76" s="22" t="str">
        <f>"Объем: "&amp;Source!I42&amp;"=150/"&amp;"10"</f>
        <v>Объем: 15=150/10</v>
      </c>
    </row>
    <row r="77" spans="1:35" s="9" customFormat="1" x14ac:dyDescent="0.2">
      <c r="A77" s="48"/>
      <c r="B77" s="48"/>
      <c r="C77" s="48" t="s">
        <v>299</v>
      </c>
      <c r="D77" s="49"/>
      <c r="E77" s="50"/>
      <c r="F77" s="51">
        <f>Source!AO42</f>
        <v>12.5</v>
      </c>
      <c r="G77" s="52" t="str">
        <f>Source!DG42</f>
        <v>)*1,2)*1,1</v>
      </c>
      <c r="H77" s="50">
        <f>Source!AV42</f>
        <v>1.0469999999999999</v>
      </c>
      <c r="I77" s="51">
        <f>ROUND((ROUND((Source!AF42*Source!AV42*Source!I42),2)),2)</f>
        <v>259.13</v>
      </c>
      <c r="J77" s="50">
        <f>IF(Source!BA42&lt;&gt; 0, Source!BA42, 1)</f>
        <v>30.48</v>
      </c>
      <c r="K77" s="51">
        <f>Source!S42</f>
        <v>7898.28</v>
      </c>
      <c r="W77" s="9">
        <f>I77</f>
        <v>259.13</v>
      </c>
    </row>
    <row r="78" spans="1:35" s="9" customFormat="1" x14ac:dyDescent="0.2">
      <c r="A78" s="48"/>
      <c r="B78" s="48"/>
      <c r="C78" s="48" t="s">
        <v>300</v>
      </c>
      <c r="D78" s="49"/>
      <c r="E78" s="50"/>
      <c r="F78" s="51">
        <f>Source!AM42</f>
        <v>2.16</v>
      </c>
      <c r="G78" s="52" t="str">
        <f>Source!DE42</f>
        <v>)*1,2)*1,1</v>
      </c>
      <c r="H78" s="50">
        <f>Source!AV42</f>
        <v>1.0469999999999999</v>
      </c>
      <c r="I78" s="51">
        <f>(ROUND((ROUND(((((Source!ET42*1.2)*1.1))*Source!AV42*Source!I42),2)),2)+ROUND((ROUND(((Source!AE42-(((Source!EU42*1.2)*1.1)))*Source!AV42*Source!I42),2)),2))</f>
        <v>44.78</v>
      </c>
      <c r="J78" s="50">
        <f>IF(Source!BB42&lt;&gt; 0, Source!BB42, 1)</f>
        <v>8.5</v>
      </c>
      <c r="K78" s="51">
        <f>Source!Q42</f>
        <v>380.63</v>
      </c>
    </row>
    <row r="79" spans="1:35" s="9" customFormat="1" x14ac:dyDescent="0.2">
      <c r="A79" s="48"/>
      <c r="B79" s="48"/>
      <c r="C79" s="48" t="s">
        <v>309</v>
      </c>
      <c r="D79" s="49"/>
      <c r="E79" s="50"/>
      <c r="F79" s="51">
        <f>Source!AL42</f>
        <v>0.74</v>
      </c>
      <c r="G79" s="52" t="str">
        <f>Source!DD42</f>
        <v>)*1)*1</v>
      </c>
      <c r="H79" s="50">
        <f>Source!AW42</f>
        <v>1.002</v>
      </c>
      <c r="I79" s="51">
        <f>ROUND((ROUND((Source!AC42*Source!AW42*Source!I42),2)),2)</f>
        <v>11.12</v>
      </c>
      <c r="J79" s="50">
        <f>IF(Source!BC42&lt;&gt; 0, Source!BC42, 1)</f>
        <v>6.03</v>
      </c>
      <c r="K79" s="51">
        <f>Source!P42</f>
        <v>67.05</v>
      </c>
    </row>
    <row r="80" spans="1:35" s="9" customFormat="1" x14ac:dyDescent="0.2">
      <c r="A80" s="48"/>
      <c r="B80" s="48"/>
      <c r="C80" s="48" t="s">
        <v>302</v>
      </c>
      <c r="D80" s="49" t="s">
        <v>303</v>
      </c>
      <c r="E80" s="50">
        <f>Source!DN42</f>
        <v>91</v>
      </c>
      <c r="F80" s="51"/>
      <c r="G80" s="52"/>
      <c r="H80" s="50"/>
      <c r="I80" s="51">
        <f>SUM(Q75:Q79)</f>
        <v>235.81</v>
      </c>
      <c r="J80" s="50">
        <f>Source!BZ42</f>
        <v>75</v>
      </c>
      <c r="K80" s="51">
        <f>SUM(R75:R79)</f>
        <v>5923.71</v>
      </c>
    </row>
    <row r="81" spans="1:35" s="9" customFormat="1" x14ac:dyDescent="0.2">
      <c r="A81" s="48"/>
      <c r="B81" s="48"/>
      <c r="C81" s="48" t="s">
        <v>304</v>
      </c>
      <c r="D81" s="49" t="s">
        <v>303</v>
      </c>
      <c r="E81" s="50">
        <f>Source!DO42</f>
        <v>70</v>
      </c>
      <c r="F81" s="51"/>
      <c r="G81" s="52"/>
      <c r="H81" s="50"/>
      <c r="I81" s="51">
        <f>SUM(S75:S80)</f>
        <v>181.39</v>
      </c>
      <c r="J81" s="50">
        <f>Source!CA42</f>
        <v>41</v>
      </c>
      <c r="K81" s="51">
        <f>SUM(T75:T80)</f>
        <v>3238.29</v>
      </c>
    </row>
    <row r="82" spans="1:35" s="9" customFormat="1" x14ac:dyDescent="0.2">
      <c r="A82" s="54"/>
      <c r="B82" s="54"/>
      <c r="C82" s="54" t="s">
        <v>306</v>
      </c>
      <c r="D82" s="55" t="s">
        <v>307</v>
      </c>
      <c r="E82" s="56">
        <f>Source!AQ42</f>
        <v>0.86</v>
      </c>
      <c r="F82" s="57"/>
      <c r="G82" s="58" t="str">
        <f>Source!DI42</f>
        <v>)*1,2)*1,1</v>
      </c>
      <c r="H82" s="56">
        <f>Source!AV42</f>
        <v>1.0469999999999999</v>
      </c>
      <c r="I82" s="57">
        <f>Source!U42</f>
        <v>17.828316000000001</v>
      </c>
      <c r="J82" s="56"/>
      <c r="K82" s="57"/>
      <c r="AB82" s="42">
        <f>I82</f>
        <v>17.828316000000001</v>
      </c>
    </row>
    <row r="83" spans="1:35" s="9" customFormat="1" x14ac:dyDescent="0.2">
      <c r="C83" s="59" t="s">
        <v>308</v>
      </c>
      <c r="H83" s="60">
        <f>I77+I78+I79+I80+I81+0</f>
        <v>732.2299999999999</v>
      </c>
      <c r="I83" s="60"/>
      <c r="J83" s="60">
        <f>K77+K78+K79+K80+K81+0</f>
        <v>17507.96</v>
      </c>
      <c r="K83" s="60"/>
      <c r="O83" s="42">
        <f>I77+I78+I79+I80+I81+0</f>
        <v>732.2299999999999</v>
      </c>
      <c r="P83" s="42">
        <f>K77+K78+K79+K80+K81+0</f>
        <v>17507.96</v>
      </c>
      <c r="X83" s="9">
        <f>IF(Source!BI42&lt;=1,I77+I78+I79+I80+I81-0, 0)</f>
        <v>732.2299999999999</v>
      </c>
      <c r="Y83" s="9">
        <f>IF(Source!BI42=2,I77+I78+I79+I80+I81-0, 0)</f>
        <v>0</v>
      </c>
      <c r="Z83" s="9">
        <f>IF(Source!BI42=3,I77+I78+I79+I80+I81-0, 0)</f>
        <v>0</v>
      </c>
      <c r="AA83" s="9">
        <f>IF(Source!BI42=4,I77+I78+I79+I80+I81,0)</f>
        <v>0</v>
      </c>
    </row>
    <row r="84" spans="1:35" s="9" customFormat="1" x14ac:dyDescent="0.2"/>
    <row r="85" spans="1:35" s="9" customFormat="1" ht="38.25" x14ac:dyDescent="0.2">
      <c r="A85" s="54">
        <v>8</v>
      </c>
      <c r="B85" s="54" t="str">
        <f>Source!F43</f>
        <v>1.7-3-47</v>
      </c>
      <c r="C85" s="54" t="s">
        <v>72</v>
      </c>
      <c r="D85" s="55" t="str">
        <f>Source!H43</f>
        <v>шт.</v>
      </c>
      <c r="E85" s="56">
        <f>Source!I43</f>
        <v>0.153</v>
      </c>
      <c r="F85" s="57">
        <f>Source!AL43</f>
        <v>14555.02</v>
      </c>
      <c r="G85" s="58" t="str">
        <f>Source!DD43</f>
        <v/>
      </c>
      <c r="H85" s="56">
        <f>Source!AW43</f>
        <v>1</v>
      </c>
      <c r="I85" s="57">
        <f>ROUND((ROUND((Source!AC43*Source!AW43*Source!I43),2)),2)</f>
        <v>2226.92</v>
      </c>
      <c r="J85" s="56">
        <f>IF(Source!BC43&lt;&gt; 0, Source!BC43, 1)</f>
        <v>2.56</v>
      </c>
      <c r="K85" s="57">
        <f>Source!P43</f>
        <v>5700.92</v>
      </c>
      <c r="Q85" s="9">
        <f>ROUND((Source!DN43/100)*ROUND((ROUND((Source!AF43*Source!AV43*Source!I43),2)),2), 2)</f>
        <v>0</v>
      </c>
      <c r="R85" s="9">
        <f>Source!X43</f>
        <v>0</v>
      </c>
      <c r="S85" s="9">
        <f>ROUND((Source!DO43/100)*ROUND((ROUND((Source!AF43*Source!AV43*Source!I43),2)),2), 2)</f>
        <v>0</v>
      </c>
      <c r="T85" s="9">
        <f>Source!Y43</f>
        <v>0</v>
      </c>
      <c r="U85" s="9">
        <f>ROUND((175/100)*ROUND((ROUND((Source!AE43*Source!AV43*Source!I43),2)),2), 2)</f>
        <v>0</v>
      </c>
      <c r="V85" s="9">
        <f>ROUND((160/100)*ROUND(ROUND((ROUND((Source!AE43*Source!AV43*Source!I43),2)*Source!BS43),2), 2), 2)</f>
        <v>0</v>
      </c>
      <c r="AI85" s="9">
        <v>3</v>
      </c>
    </row>
    <row r="86" spans="1:35" s="9" customFormat="1" x14ac:dyDescent="0.2">
      <c r="C86" s="59" t="s">
        <v>308</v>
      </c>
      <c r="H86" s="60">
        <f>I85+0</f>
        <v>2226.92</v>
      </c>
      <c r="I86" s="60"/>
      <c r="J86" s="60">
        <f>K85+0</f>
        <v>5700.92</v>
      </c>
      <c r="K86" s="60"/>
      <c r="O86" s="42">
        <f>I85+0</f>
        <v>2226.92</v>
      </c>
      <c r="P86" s="42">
        <f>K85+0</f>
        <v>5700.92</v>
      </c>
      <c r="X86" s="9">
        <f>IF(Source!BI43&lt;=1,I85-0, 0)</f>
        <v>2226.92</v>
      </c>
      <c r="Y86" s="9">
        <f>IF(Source!BI43=2,I85-0, 0)</f>
        <v>0</v>
      </c>
      <c r="Z86" s="9">
        <f>IF(Source!BI43=3,I85-0, 0)</f>
        <v>0</v>
      </c>
      <c r="AA86" s="9">
        <f>IF(Source!BI43=4,I85,0)</f>
        <v>0</v>
      </c>
    </row>
    <row r="87" spans="1:35" s="9" customFormat="1" x14ac:dyDescent="0.2"/>
    <row r="88" spans="1:35" s="9" customFormat="1" ht="38.25" customHeight="1" x14ac:dyDescent="0.2">
      <c r="A88" s="48">
        <v>9</v>
      </c>
      <c r="B88" s="48" t="str">
        <f>Source!F44</f>
        <v>3.34-17-3</v>
      </c>
      <c r="C88" s="48" t="s">
        <v>34</v>
      </c>
      <c r="D88" s="66" t="str">
        <f>Source!H44</f>
        <v>1 канало-километр трубопровода</v>
      </c>
      <c r="E88" s="50">
        <f>Source!I44</f>
        <v>6.1999999999999998E-3</v>
      </c>
      <c r="F88" s="51"/>
      <c r="G88" s="52"/>
      <c r="H88" s="50"/>
      <c r="I88" s="51"/>
      <c r="J88" s="50"/>
      <c r="K88" s="51"/>
      <c r="Q88" s="9">
        <f>ROUND((Source!DN44/100)*ROUND((ROUND((Source!AF44*Source!AV44*Source!I44),2)),2), 2)</f>
        <v>15.75</v>
      </c>
      <c r="R88" s="9">
        <f>Source!X44</f>
        <v>394.27</v>
      </c>
      <c r="S88" s="9">
        <f>ROUND((Source!DO44/100)*ROUND((ROUND((Source!AF44*Source!AV44*Source!I44),2)),2), 2)</f>
        <v>9.84</v>
      </c>
      <c r="T88" s="9">
        <f>Source!Y44</f>
        <v>175.71</v>
      </c>
      <c r="U88" s="9">
        <f>ROUND((175/100)*ROUND((ROUND((Source!AE44*Source!AV44*Source!I44),2)),2), 2)</f>
        <v>0</v>
      </c>
      <c r="V88" s="9">
        <f>ROUND((160/100)*ROUND(ROUND((ROUND((Source!AE44*Source!AV44*Source!I44),2)*Source!BS44),2), 2), 2)</f>
        <v>0</v>
      </c>
      <c r="AI88" s="9">
        <v>0</v>
      </c>
    </row>
    <row r="89" spans="1:35" s="9" customFormat="1" x14ac:dyDescent="0.2">
      <c r="C89" s="22" t="str">
        <f>"Объем: "&amp;Source!I44&amp;"=6,2/"&amp;"1000"</f>
        <v>Объем: 0,0062=6,2/1000</v>
      </c>
    </row>
    <row r="90" spans="1:35" s="9" customFormat="1" x14ac:dyDescent="0.2">
      <c r="A90" s="48"/>
      <c r="B90" s="48"/>
      <c r="C90" s="48" t="s">
        <v>299</v>
      </c>
      <c r="D90" s="49"/>
      <c r="E90" s="50"/>
      <c r="F90" s="51">
        <f>Source!AO44</f>
        <v>1609.92</v>
      </c>
      <c r="G90" s="52" t="str">
        <f>Source!DG44</f>
        <v>)*1,2)*1,1</v>
      </c>
      <c r="H90" s="50">
        <f>Source!AV44</f>
        <v>1.0669999999999999</v>
      </c>
      <c r="I90" s="51">
        <f>ROUND((ROUND((Source!AF44*Source!AV44*Source!I44),2)),2)</f>
        <v>14.06</v>
      </c>
      <c r="J90" s="50">
        <f>IF(Source!BA44&lt;&gt; 0, Source!BA44, 1)</f>
        <v>30.48</v>
      </c>
      <c r="K90" s="51">
        <f>Source!S44</f>
        <v>428.55</v>
      </c>
      <c r="W90" s="9">
        <f>I90</f>
        <v>14.06</v>
      </c>
    </row>
    <row r="91" spans="1:35" s="9" customFormat="1" x14ac:dyDescent="0.2">
      <c r="A91" s="48"/>
      <c r="B91" s="48"/>
      <c r="C91" s="48" t="s">
        <v>309</v>
      </c>
      <c r="D91" s="49"/>
      <c r="E91" s="50"/>
      <c r="F91" s="51">
        <f>Source!AL44</f>
        <v>19554.14</v>
      </c>
      <c r="G91" s="52" t="str">
        <f>Source!DD44</f>
        <v>)*1)*1</v>
      </c>
      <c r="H91" s="50">
        <f>Source!AW44</f>
        <v>1.081</v>
      </c>
      <c r="I91" s="51">
        <f>ROUND((ROUND((Source!AC44*Source!AW44*Source!I44),2)),2)</f>
        <v>131.06</v>
      </c>
      <c r="J91" s="50">
        <f>IF(Source!BC44&lt;&gt; 0, Source!BC44, 1)</f>
        <v>7.56</v>
      </c>
      <c r="K91" s="51">
        <f>Source!P44</f>
        <v>990.81</v>
      </c>
    </row>
    <row r="92" spans="1:35" s="9" customFormat="1" ht="38.25" x14ac:dyDescent="0.2">
      <c r="A92" s="48" t="s">
        <v>76</v>
      </c>
      <c r="B92" s="48" t="str">
        <f>Source!F45</f>
        <v>1.12-3-25</v>
      </c>
      <c r="C92" s="48" t="s">
        <v>41</v>
      </c>
      <c r="D92" s="49" t="str">
        <f>Source!H45</f>
        <v>м</v>
      </c>
      <c r="E92" s="50">
        <f>Source!I45</f>
        <v>-6.2</v>
      </c>
      <c r="F92" s="51">
        <f>Source!AK45</f>
        <v>15.01</v>
      </c>
      <c r="G92" s="61" t="s">
        <v>3</v>
      </c>
      <c r="H92" s="50">
        <f>Source!AW45</f>
        <v>1.081</v>
      </c>
      <c r="I92" s="51">
        <f>ROUND((ROUND((Source!AC45*Source!AW45*Source!I45),2)),2)+(ROUND((ROUND(((Source!ET45)*Source!AV45*Source!I45),2)),2)+ROUND((ROUND(((Source!AE45-(Source!EU45))*Source!AV45*Source!I45),2)),2))+ROUND((ROUND((Source!AF45*Source!AV45*Source!I45),2)),2)</f>
        <v>-100.6</v>
      </c>
      <c r="J92" s="50">
        <f>IF(Source!BC45&lt;&gt; 0, Source!BC45, 1)</f>
        <v>9.08</v>
      </c>
      <c r="K92" s="51">
        <f>Source!O45</f>
        <v>-913.45</v>
      </c>
      <c r="Q92" s="9">
        <f>ROUND((Source!DN45/100)*ROUND((ROUND((Source!AF45*Source!AV45*Source!I45),2)),2), 2)</f>
        <v>0</v>
      </c>
      <c r="R92" s="9">
        <f>Source!X45</f>
        <v>0</v>
      </c>
      <c r="S92" s="9">
        <f>ROUND((Source!DO45/100)*ROUND((ROUND((Source!AF45*Source!AV45*Source!I45),2)),2), 2)</f>
        <v>0</v>
      </c>
      <c r="T92" s="9">
        <f>Source!Y45</f>
        <v>0</v>
      </c>
      <c r="U92" s="9">
        <f>ROUND((175/100)*ROUND((ROUND((Source!AE45*Source!AV45*Source!I45),2)),2), 2)</f>
        <v>0</v>
      </c>
      <c r="V92" s="9">
        <f>ROUND((160/100)*ROUND(ROUND((ROUND((Source!AE45*Source!AV45*Source!I45),2)*Source!BS45),2), 2), 2)</f>
        <v>0</v>
      </c>
      <c r="X92" s="9">
        <f>IF(Source!BI45&lt;=1,I92, 0)</f>
        <v>-100.6</v>
      </c>
      <c r="Y92" s="9">
        <f>IF(Source!BI45=2,I92, 0)</f>
        <v>0</v>
      </c>
      <c r="Z92" s="9">
        <f>IF(Source!BI45=3,I92, 0)</f>
        <v>0</v>
      </c>
      <c r="AA92" s="9">
        <f>IF(Source!BI45=4,I92, 0)</f>
        <v>0</v>
      </c>
      <c r="AI92" s="9">
        <v>3</v>
      </c>
    </row>
    <row r="93" spans="1:35" s="9" customFormat="1" x14ac:dyDescent="0.2">
      <c r="A93" s="48"/>
      <c r="B93" s="48"/>
      <c r="C93" s="48" t="s">
        <v>302</v>
      </c>
      <c r="D93" s="49" t="s">
        <v>303</v>
      </c>
      <c r="E93" s="50">
        <f>Source!DN44</f>
        <v>112</v>
      </c>
      <c r="F93" s="51"/>
      <c r="G93" s="52"/>
      <c r="H93" s="50"/>
      <c r="I93" s="51">
        <f>SUM(Q88:Q92)</f>
        <v>15.75</v>
      </c>
      <c r="J93" s="50">
        <f>Source!BZ44</f>
        <v>92</v>
      </c>
      <c r="K93" s="51">
        <f>SUM(R88:R92)</f>
        <v>394.27</v>
      </c>
    </row>
    <row r="94" spans="1:35" s="9" customFormat="1" x14ac:dyDescent="0.2">
      <c r="A94" s="48"/>
      <c r="B94" s="48"/>
      <c r="C94" s="48" t="s">
        <v>304</v>
      </c>
      <c r="D94" s="49" t="s">
        <v>303</v>
      </c>
      <c r="E94" s="50">
        <f>Source!DO44</f>
        <v>70</v>
      </c>
      <c r="F94" s="51"/>
      <c r="G94" s="52"/>
      <c r="H94" s="50"/>
      <c r="I94" s="51">
        <f>SUM(S88:S93)</f>
        <v>9.84</v>
      </c>
      <c r="J94" s="50">
        <f>Source!CA44</f>
        <v>41</v>
      </c>
      <c r="K94" s="51">
        <f>SUM(T88:T93)</f>
        <v>175.71</v>
      </c>
    </row>
    <row r="95" spans="1:35" s="9" customFormat="1" x14ac:dyDescent="0.2">
      <c r="A95" s="54"/>
      <c r="B95" s="54"/>
      <c r="C95" s="54" t="s">
        <v>306</v>
      </c>
      <c r="D95" s="55" t="s">
        <v>307</v>
      </c>
      <c r="E95" s="56">
        <f>Source!AQ44</f>
        <v>144</v>
      </c>
      <c r="F95" s="57"/>
      <c r="G95" s="58" t="str">
        <f>Source!DI44</f>
        <v>)*1,2)*1,1</v>
      </c>
      <c r="H95" s="56">
        <f>Source!AV44</f>
        <v>1.0669999999999999</v>
      </c>
      <c r="I95" s="57">
        <f>Source!U44</f>
        <v>1.2574552319999999</v>
      </c>
      <c r="J95" s="56"/>
      <c r="K95" s="57"/>
      <c r="AB95" s="42">
        <f>I95</f>
        <v>1.2574552319999999</v>
      </c>
    </row>
    <row r="96" spans="1:35" s="9" customFormat="1" x14ac:dyDescent="0.2">
      <c r="C96" s="59" t="s">
        <v>308</v>
      </c>
      <c r="H96" s="60">
        <f>I90+I91+I93+I94+SUM(I92:I92)</f>
        <v>70.110000000000014</v>
      </c>
      <c r="I96" s="60"/>
      <c r="J96" s="60">
        <f>K90+K91+K93+K94+SUM(K92:K92)</f>
        <v>1075.8899999999999</v>
      </c>
      <c r="K96" s="60"/>
      <c r="O96" s="42">
        <f>I90+I91+I93+I94+SUM(I92:I92)</f>
        <v>70.110000000000014</v>
      </c>
      <c r="P96" s="42">
        <f>K90+K91+K93+K94+SUM(K92:K92)</f>
        <v>1075.8899999999999</v>
      </c>
      <c r="X96" s="9">
        <f>IF(Source!BI44&lt;=1,I90+I91+I93+I94-0, 0)</f>
        <v>170.71</v>
      </c>
      <c r="Y96" s="9">
        <f>IF(Source!BI44=2,I90+I91+I93+I94-0, 0)</f>
        <v>0</v>
      </c>
      <c r="Z96" s="9">
        <f>IF(Source!BI44=3,I90+I91+I93+I94-0, 0)</f>
        <v>0</v>
      </c>
      <c r="AA96" s="9">
        <f>IF(Source!BI44=4,I90+I91+I93+I94,0)</f>
        <v>0</v>
      </c>
    </row>
    <row r="97" spans="1:35" s="9" customFormat="1" x14ac:dyDescent="0.2"/>
    <row r="98" spans="1:35" s="9" customFormat="1" ht="38.25" x14ac:dyDescent="0.2">
      <c r="A98" s="54">
        <v>10</v>
      </c>
      <c r="B98" s="54" t="str">
        <f>Source!F46</f>
        <v>1.12-3-26</v>
      </c>
      <c r="C98" s="54" t="s">
        <v>46</v>
      </c>
      <c r="D98" s="55" t="str">
        <f>Source!H46</f>
        <v>м</v>
      </c>
      <c r="E98" s="56">
        <f>Source!I46</f>
        <v>6.2</v>
      </c>
      <c r="F98" s="57">
        <f>Source!AL46</f>
        <v>24.4</v>
      </c>
      <c r="G98" s="58" t="str">
        <f>Source!DD46</f>
        <v/>
      </c>
      <c r="H98" s="56">
        <f>Source!AW46</f>
        <v>1</v>
      </c>
      <c r="I98" s="57">
        <f>ROUND((ROUND((Source!AC46*Source!AW46*Source!I46),2)),2)</f>
        <v>151.28</v>
      </c>
      <c r="J98" s="56">
        <f>IF(Source!BC46&lt;&gt; 0, Source!BC46, 1)</f>
        <v>9.41</v>
      </c>
      <c r="K98" s="57">
        <f>Source!P46</f>
        <v>1423.54</v>
      </c>
      <c r="Q98" s="9">
        <f>ROUND((Source!DN46/100)*ROUND((ROUND((Source!AF46*Source!AV46*Source!I46),2)),2), 2)</f>
        <v>0</v>
      </c>
      <c r="R98" s="9">
        <f>Source!X46</f>
        <v>0</v>
      </c>
      <c r="S98" s="9">
        <f>ROUND((Source!DO46/100)*ROUND((ROUND((Source!AF46*Source!AV46*Source!I46),2)),2), 2)</f>
        <v>0</v>
      </c>
      <c r="T98" s="9">
        <f>Source!Y46</f>
        <v>0</v>
      </c>
      <c r="U98" s="9">
        <f>ROUND((175/100)*ROUND((ROUND((Source!AE46*Source!AV46*Source!I46),2)),2), 2)</f>
        <v>0</v>
      </c>
      <c r="V98" s="9">
        <f>ROUND((160/100)*ROUND(ROUND((ROUND((Source!AE46*Source!AV46*Source!I46),2)*Source!BS46),2), 2), 2)</f>
        <v>0</v>
      </c>
      <c r="AI98" s="9">
        <v>3</v>
      </c>
    </row>
    <row r="99" spans="1:35" s="9" customFormat="1" x14ac:dyDescent="0.2">
      <c r="C99" s="59" t="s">
        <v>308</v>
      </c>
      <c r="H99" s="60">
        <f>I98+0</f>
        <v>151.28</v>
      </c>
      <c r="I99" s="60"/>
      <c r="J99" s="60">
        <f>K98+0</f>
        <v>1423.54</v>
      </c>
      <c r="K99" s="60"/>
      <c r="O99" s="42">
        <f>I98+0</f>
        <v>151.28</v>
      </c>
      <c r="P99" s="42">
        <f>K98+0</f>
        <v>1423.54</v>
      </c>
      <c r="X99" s="9">
        <f>IF(Source!BI46&lt;=1,I98-0, 0)</f>
        <v>151.28</v>
      </c>
      <c r="Y99" s="9">
        <f>IF(Source!BI46=2,I98-0, 0)</f>
        <v>0</v>
      </c>
      <c r="Z99" s="9">
        <f>IF(Source!BI46=3,I98-0, 0)</f>
        <v>0</v>
      </c>
      <c r="AA99" s="9">
        <f>IF(Source!BI46=4,I98,0)</f>
        <v>0</v>
      </c>
    </row>
    <row r="100" spans="1:35" s="9" customFormat="1" x14ac:dyDescent="0.2"/>
    <row r="101" spans="1:35" s="9" customFormat="1" ht="25.5" x14ac:dyDescent="0.2">
      <c r="A101" s="48">
        <v>11</v>
      </c>
      <c r="B101" s="48" t="str">
        <f>Source!F47</f>
        <v>4.8-86-1</v>
      </c>
      <c r="C101" s="48" t="s">
        <v>80</v>
      </c>
      <c r="D101" s="49" t="str">
        <f>Source!H47</f>
        <v>1 проход кабеля</v>
      </c>
      <c r="E101" s="50">
        <f>Source!I47</f>
        <v>1</v>
      </c>
      <c r="F101" s="51"/>
      <c r="G101" s="52"/>
      <c r="H101" s="50"/>
      <c r="I101" s="51"/>
      <c r="J101" s="50"/>
      <c r="K101" s="51"/>
      <c r="Q101" s="9">
        <f>ROUND((Source!DN47/100)*ROUND((ROUND((Source!AF47*Source!AV47*Source!I47),2)),2), 2)</f>
        <v>8.9600000000000009</v>
      </c>
      <c r="R101" s="9">
        <f>Source!X47</f>
        <v>224.33</v>
      </c>
      <c r="S101" s="9">
        <f>ROUND((Source!DO47/100)*ROUND((ROUND((Source!AF47*Source!AV47*Source!I47),2)),2), 2)</f>
        <v>5.6</v>
      </c>
      <c r="T101" s="9">
        <f>Source!Y47</f>
        <v>104.85</v>
      </c>
      <c r="U101" s="9">
        <f>ROUND((175/100)*ROUND((ROUND((Source!AE47*Source!AV47*Source!I47),2)),2), 2)</f>
        <v>0</v>
      </c>
      <c r="V101" s="9">
        <f>ROUND((160/100)*ROUND(ROUND((ROUND((Source!AE47*Source!AV47*Source!I47),2)*Source!BS47),2), 2), 2)</f>
        <v>0</v>
      </c>
      <c r="AI101" s="9">
        <v>0</v>
      </c>
    </row>
    <row r="102" spans="1:35" s="9" customFormat="1" x14ac:dyDescent="0.2">
      <c r="A102" s="48"/>
      <c r="B102" s="48"/>
      <c r="C102" s="48" t="s">
        <v>299</v>
      </c>
      <c r="D102" s="49"/>
      <c r="E102" s="50"/>
      <c r="F102" s="51">
        <f>Source!AO47</f>
        <v>5.79</v>
      </c>
      <c r="G102" s="52" t="str">
        <f>Source!DG47</f>
        <v>)*1,2)*1,1</v>
      </c>
      <c r="H102" s="50">
        <f>Source!AV47</f>
        <v>1.0469999999999999</v>
      </c>
      <c r="I102" s="51">
        <f>ROUND((ROUND((Source!AF47*Source!AV47*Source!I47),2)),2)</f>
        <v>8</v>
      </c>
      <c r="J102" s="50">
        <f>IF(Source!BA47&lt;&gt; 0, Source!BA47, 1)</f>
        <v>30.48</v>
      </c>
      <c r="K102" s="51">
        <f>Source!S47</f>
        <v>243.84</v>
      </c>
      <c r="W102" s="9">
        <f>I102</f>
        <v>8</v>
      </c>
    </row>
    <row r="103" spans="1:35" s="9" customFormat="1" x14ac:dyDescent="0.2">
      <c r="A103" s="48"/>
      <c r="B103" s="48"/>
      <c r="C103" s="48" t="s">
        <v>309</v>
      </c>
      <c r="D103" s="49"/>
      <c r="E103" s="50"/>
      <c r="F103" s="51">
        <f>Source!AL47</f>
        <v>59.2</v>
      </c>
      <c r="G103" s="52" t="str">
        <f>Source!DD47</f>
        <v>)*1)*1</v>
      </c>
      <c r="H103" s="50">
        <f>Source!AW47</f>
        <v>1</v>
      </c>
      <c r="I103" s="51">
        <f>ROUND((ROUND((Source!AC47*Source!AW47*Source!I47),2)),2)</f>
        <v>59.2</v>
      </c>
      <c r="J103" s="50">
        <f>IF(Source!BC47&lt;&gt; 0, Source!BC47, 1)</f>
        <v>8.7899999999999991</v>
      </c>
      <c r="K103" s="51">
        <f>Source!P47</f>
        <v>520.37</v>
      </c>
    </row>
    <row r="104" spans="1:35" s="9" customFormat="1" ht="51" x14ac:dyDescent="0.2">
      <c r="A104" s="48" t="s">
        <v>86</v>
      </c>
      <c r="B104" s="48" t="str">
        <f>Source!F48</f>
        <v>1.1-1-8035</v>
      </c>
      <c r="C104" s="48" t="s">
        <v>88</v>
      </c>
      <c r="D104" s="49" t="str">
        <f>Source!H48</f>
        <v>кг</v>
      </c>
      <c r="E104" s="50">
        <f>Source!I48</f>
        <v>-0.72</v>
      </c>
      <c r="F104" s="51">
        <f>Source!AK48</f>
        <v>78.58</v>
      </c>
      <c r="G104" s="61" t="s">
        <v>3</v>
      </c>
      <c r="H104" s="50">
        <f>Source!AW48</f>
        <v>1</v>
      </c>
      <c r="I104" s="51">
        <f>ROUND((ROUND((Source!AC48*Source!AW48*Source!I48),2)),2)+(ROUND((ROUND(((Source!ET48)*Source!AV48*Source!I48),2)),2)+ROUND((ROUND(((Source!AE48-(Source!EU48))*Source!AV48*Source!I48),2)),2))+ROUND((ROUND((Source!AF48*Source!AV48*Source!I48),2)),2)</f>
        <v>-56.58</v>
      </c>
      <c r="J104" s="50">
        <f>IF(Source!BC48&lt;&gt; 0, Source!BC48, 1)</f>
        <v>8.51</v>
      </c>
      <c r="K104" s="51">
        <f>Source!O48</f>
        <v>-481.5</v>
      </c>
      <c r="Q104" s="9">
        <f>ROUND((Source!DN48/100)*ROUND((ROUND((Source!AF48*Source!AV48*Source!I48),2)),2), 2)</f>
        <v>0</v>
      </c>
      <c r="R104" s="9">
        <f>Source!X48</f>
        <v>0</v>
      </c>
      <c r="S104" s="9">
        <f>ROUND((Source!DO48/100)*ROUND((ROUND((Source!AF48*Source!AV48*Source!I48),2)),2), 2)</f>
        <v>0</v>
      </c>
      <c r="T104" s="9">
        <f>Source!Y48</f>
        <v>0</v>
      </c>
      <c r="U104" s="9">
        <f>ROUND((175/100)*ROUND((ROUND((Source!AE48*Source!AV48*Source!I48),2)),2), 2)</f>
        <v>0</v>
      </c>
      <c r="V104" s="9">
        <f>ROUND((160/100)*ROUND(ROUND((ROUND((Source!AE48*Source!AV48*Source!I48),2)*Source!BS48),2), 2), 2)</f>
        <v>0</v>
      </c>
      <c r="X104" s="9">
        <f>IF(Source!BI48&lt;=1,I104, 0)</f>
        <v>0</v>
      </c>
      <c r="Y104" s="9">
        <f>IF(Source!BI48=2,I104, 0)</f>
        <v>-56.58</v>
      </c>
      <c r="Z104" s="9">
        <f>IF(Source!BI48=3,I104, 0)</f>
        <v>0</v>
      </c>
      <c r="AA104" s="9">
        <f>IF(Source!BI48=4,I104, 0)</f>
        <v>0</v>
      </c>
      <c r="AI104" s="9">
        <v>3</v>
      </c>
    </row>
    <row r="105" spans="1:35" s="9" customFormat="1" ht="25.5" x14ac:dyDescent="0.2">
      <c r="A105" s="48" t="s">
        <v>90</v>
      </c>
      <c r="B105" s="48" t="str">
        <f>Source!F49</f>
        <v>1.1-1-7994</v>
      </c>
      <c r="C105" s="48" t="s">
        <v>92</v>
      </c>
      <c r="D105" s="49" t="str">
        <f>Source!H49</f>
        <v>т</v>
      </c>
      <c r="E105" s="50">
        <f>Source!I49</f>
        <v>-6.0000000000000002E-5</v>
      </c>
      <c r="F105" s="51">
        <f>Source!AK49</f>
        <v>19003</v>
      </c>
      <c r="G105" s="61" t="s">
        <v>3</v>
      </c>
      <c r="H105" s="50">
        <f>Source!AW49</f>
        <v>1</v>
      </c>
      <c r="I105" s="51">
        <f>ROUND((ROUND((Source!AC49*Source!AW49*Source!I49),2)),2)+(ROUND((ROUND(((Source!ET49)*Source!AV49*Source!I49),2)),2)+ROUND((ROUND(((Source!AE49-(Source!EU49))*Source!AV49*Source!I49),2)),2))+ROUND((ROUND((Source!AF49*Source!AV49*Source!I49),2)),2)</f>
        <v>-1.1399999999999999</v>
      </c>
      <c r="J105" s="50">
        <f>IF(Source!BC49&lt;&gt; 0, Source!BC49, 1)</f>
        <v>20.53</v>
      </c>
      <c r="K105" s="51">
        <f>Source!O49</f>
        <v>-23.4</v>
      </c>
      <c r="Q105" s="9">
        <f>ROUND((Source!DN49/100)*ROUND((ROUND((Source!AF49*Source!AV49*Source!I49),2)),2), 2)</f>
        <v>0</v>
      </c>
      <c r="R105" s="9">
        <f>Source!X49</f>
        <v>0</v>
      </c>
      <c r="S105" s="9">
        <f>ROUND((Source!DO49/100)*ROUND((ROUND((Source!AF49*Source!AV49*Source!I49),2)),2), 2)</f>
        <v>0</v>
      </c>
      <c r="T105" s="9">
        <f>Source!Y49</f>
        <v>0</v>
      </c>
      <c r="U105" s="9">
        <f>ROUND((175/100)*ROUND((ROUND((Source!AE49*Source!AV49*Source!I49),2)),2), 2)</f>
        <v>0</v>
      </c>
      <c r="V105" s="9">
        <f>ROUND((160/100)*ROUND(ROUND((ROUND((Source!AE49*Source!AV49*Source!I49),2)*Source!BS49),2), 2), 2)</f>
        <v>0</v>
      </c>
      <c r="X105" s="9">
        <f>IF(Source!BI49&lt;=1,I105, 0)</f>
        <v>0</v>
      </c>
      <c r="Y105" s="9">
        <f>IF(Source!BI49=2,I105, 0)</f>
        <v>-1.1399999999999999</v>
      </c>
      <c r="Z105" s="9">
        <f>IF(Source!BI49=3,I105, 0)</f>
        <v>0</v>
      </c>
      <c r="AA105" s="9">
        <f>IF(Source!BI49=4,I105, 0)</f>
        <v>0</v>
      </c>
      <c r="AI105" s="9">
        <v>3</v>
      </c>
    </row>
    <row r="106" spans="1:35" s="9" customFormat="1" x14ac:dyDescent="0.2">
      <c r="A106" s="48"/>
      <c r="B106" s="48"/>
      <c r="C106" s="48" t="s">
        <v>302</v>
      </c>
      <c r="D106" s="49" t="s">
        <v>303</v>
      </c>
      <c r="E106" s="50">
        <f>Source!DN47</f>
        <v>112</v>
      </c>
      <c r="F106" s="51"/>
      <c r="G106" s="52"/>
      <c r="H106" s="50"/>
      <c r="I106" s="51">
        <f>SUM(Q101:Q105)</f>
        <v>8.9600000000000009</v>
      </c>
      <c r="J106" s="50">
        <f>Source!BZ47</f>
        <v>92</v>
      </c>
      <c r="K106" s="51">
        <f>SUM(R101:R105)</f>
        <v>224.33</v>
      </c>
    </row>
    <row r="107" spans="1:35" s="9" customFormat="1" x14ac:dyDescent="0.2">
      <c r="A107" s="48"/>
      <c r="B107" s="48"/>
      <c r="C107" s="48" t="s">
        <v>304</v>
      </c>
      <c r="D107" s="49" t="s">
        <v>303</v>
      </c>
      <c r="E107" s="50">
        <f>Source!DO47</f>
        <v>70</v>
      </c>
      <c r="F107" s="51"/>
      <c r="G107" s="52"/>
      <c r="H107" s="50"/>
      <c r="I107" s="51">
        <f>SUM(S101:S106)</f>
        <v>5.6</v>
      </c>
      <c r="J107" s="50">
        <f>Source!CA47</f>
        <v>43</v>
      </c>
      <c r="K107" s="51">
        <f>SUM(T101:T106)</f>
        <v>104.85</v>
      </c>
    </row>
    <row r="108" spans="1:35" s="9" customFormat="1" x14ac:dyDescent="0.2">
      <c r="A108" s="54"/>
      <c r="B108" s="54"/>
      <c r="C108" s="54" t="s">
        <v>306</v>
      </c>
      <c r="D108" s="55" t="s">
        <v>307</v>
      </c>
      <c r="E108" s="56">
        <f>Source!AQ47</f>
        <v>0.47</v>
      </c>
      <c r="F108" s="57"/>
      <c r="G108" s="58" t="str">
        <f>Source!DI47</f>
        <v>)*1,2)*1,1</v>
      </c>
      <c r="H108" s="56">
        <f>Source!AV47</f>
        <v>1.0469999999999999</v>
      </c>
      <c r="I108" s="57">
        <f>Source!U47</f>
        <v>0.64955879999999988</v>
      </c>
      <c r="J108" s="56"/>
      <c r="K108" s="57"/>
      <c r="AB108" s="42">
        <f>I108</f>
        <v>0.64955879999999988</v>
      </c>
    </row>
    <row r="109" spans="1:35" s="9" customFormat="1" x14ac:dyDescent="0.2">
      <c r="C109" s="59" t="s">
        <v>308</v>
      </c>
      <c r="H109" s="60">
        <f>I102+I103+I106+I107+SUM(I104:I105)</f>
        <v>24.039999999999992</v>
      </c>
      <c r="I109" s="60"/>
      <c r="J109" s="60">
        <f>K102+K103+K106+K107+SUM(K104:K105)</f>
        <v>588.49000000000012</v>
      </c>
      <c r="K109" s="60"/>
      <c r="O109" s="42">
        <f>I102+I103+I106+I107+SUM(I104:I105)</f>
        <v>24.039999999999992</v>
      </c>
      <c r="P109" s="42">
        <f>K102+K103+K106+K107+SUM(K104:K105)</f>
        <v>588.49000000000012</v>
      </c>
      <c r="X109" s="9">
        <f>IF(Source!BI47&lt;=1,I102+I103+I106+I107-0, 0)</f>
        <v>0</v>
      </c>
      <c r="Y109" s="9">
        <f>IF(Source!BI47=2,I102+I103+I106+I107-0, 0)</f>
        <v>81.759999999999991</v>
      </c>
      <c r="Z109" s="9">
        <f>IF(Source!BI47=3,I102+I103+I106+I107-0, 0)</f>
        <v>0</v>
      </c>
      <c r="AA109" s="9">
        <f>IF(Source!BI47=4,I102+I103+I106+I107,0)</f>
        <v>0</v>
      </c>
    </row>
    <row r="110" spans="1:35" s="9" customFormat="1" x14ac:dyDescent="0.2"/>
    <row r="111" spans="1:35" s="9" customFormat="1" ht="140.25" x14ac:dyDescent="0.2">
      <c r="A111" s="54">
        <v>12</v>
      </c>
      <c r="B111" s="54" t="str">
        <f>Source!F50</f>
        <v>1.3-2-141</v>
      </c>
      <c r="C111" s="54" t="s">
        <v>266</v>
      </c>
      <c r="D111" s="55" t="str">
        <f>Source!H50</f>
        <v>кг</v>
      </c>
      <c r="E111" s="56">
        <f>Source!I50</f>
        <v>4</v>
      </c>
      <c r="F111" s="57">
        <f>Source!AL50</f>
        <v>54.26</v>
      </c>
      <c r="G111" s="58" t="str">
        <f>Source!DD50</f>
        <v/>
      </c>
      <c r="H111" s="56">
        <f>Source!AW50</f>
        <v>1</v>
      </c>
      <c r="I111" s="57">
        <f>ROUND((ROUND((Source!AC50*Source!AW50*Source!I50),2)),2)</f>
        <v>217.04</v>
      </c>
      <c r="J111" s="56">
        <f>IF(Source!BC50&lt;&gt; 0, Source!BC50, 1)</f>
        <v>6.59</v>
      </c>
      <c r="K111" s="57">
        <f>Source!P50</f>
        <v>1430.29</v>
      </c>
      <c r="Q111" s="9">
        <f>ROUND((Source!DN50/100)*ROUND((ROUND((Source!AF50*Source!AV50*Source!I50),2)),2), 2)</f>
        <v>0</v>
      </c>
      <c r="R111" s="9">
        <f>Source!X50</f>
        <v>0</v>
      </c>
      <c r="S111" s="9">
        <f>ROUND((Source!DO50/100)*ROUND((ROUND((Source!AF50*Source!AV50*Source!I50),2)),2), 2)</f>
        <v>0</v>
      </c>
      <c r="T111" s="9">
        <f>Source!Y50</f>
        <v>0</v>
      </c>
      <c r="U111" s="9">
        <f>ROUND((175/100)*ROUND((ROUND((Source!AE50*Source!AV50*Source!I50),2)),2), 2)</f>
        <v>0</v>
      </c>
      <c r="V111" s="9">
        <f>ROUND((160/100)*ROUND(ROUND((ROUND((Source!AE50*Source!AV50*Source!I50),2)*Source!BS50),2), 2), 2)</f>
        <v>0</v>
      </c>
      <c r="AI111" s="9">
        <v>3</v>
      </c>
    </row>
    <row r="112" spans="1:35" s="9" customFormat="1" x14ac:dyDescent="0.2">
      <c r="C112" s="59" t="s">
        <v>308</v>
      </c>
      <c r="H112" s="60">
        <f>I111+0</f>
        <v>217.04</v>
      </c>
      <c r="I112" s="60"/>
      <c r="J112" s="60">
        <f>K111+0</f>
        <v>1430.29</v>
      </c>
      <c r="K112" s="60"/>
      <c r="O112" s="42">
        <f>I111+0</f>
        <v>217.04</v>
      </c>
      <c r="P112" s="42">
        <f>K111+0</f>
        <v>1430.29</v>
      </c>
      <c r="X112" s="9">
        <f>IF(Source!BI50&lt;=1,I111-0, 0)</f>
        <v>217.04</v>
      </c>
      <c r="Y112" s="9">
        <f>IF(Source!BI50=2,I111-0, 0)</f>
        <v>0</v>
      </c>
      <c r="Z112" s="9">
        <f>IF(Source!BI50=3,I111-0, 0)</f>
        <v>0</v>
      </c>
      <c r="AA112" s="9">
        <f>IF(Source!BI50=4,I111,0)</f>
        <v>0</v>
      </c>
    </row>
    <row r="113" spans="1:35" s="9" customFormat="1" x14ac:dyDescent="0.2"/>
    <row r="114" spans="1:35" s="9" customFormat="1" ht="127.5" x14ac:dyDescent="0.2">
      <c r="A114" s="54">
        <v>13</v>
      </c>
      <c r="B114" s="54" t="str">
        <f>Source!F51</f>
        <v>1.3-2-142</v>
      </c>
      <c r="C114" s="54" t="s">
        <v>267</v>
      </c>
      <c r="D114" s="55" t="str">
        <f>Source!H51</f>
        <v>кг</v>
      </c>
      <c r="E114" s="56">
        <f>Source!I51</f>
        <v>4</v>
      </c>
      <c r="F114" s="57">
        <f>Source!AL51</f>
        <v>56.1</v>
      </c>
      <c r="G114" s="58" t="str">
        <f>Source!DD51</f>
        <v/>
      </c>
      <c r="H114" s="56">
        <f>Source!AW51</f>
        <v>1</v>
      </c>
      <c r="I114" s="57">
        <f>ROUND((ROUND((Source!AC51*Source!AW51*Source!I51),2)),2)</f>
        <v>224.4</v>
      </c>
      <c r="J114" s="56">
        <f>IF(Source!BC51&lt;&gt; 0, Source!BC51, 1)</f>
        <v>4.5599999999999996</v>
      </c>
      <c r="K114" s="57">
        <f>Source!P51</f>
        <v>1023.26</v>
      </c>
      <c r="Q114" s="9">
        <f>ROUND((Source!DN51/100)*ROUND((ROUND((Source!AF51*Source!AV51*Source!I51),2)),2), 2)</f>
        <v>0</v>
      </c>
      <c r="R114" s="9">
        <f>Source!X51</f>
        <v>0</v>
      </c>
      <c r="S114" s="9">
        <f>ROUND((Source!DO51/100)*ROUND((ROUND((Source!AF51*Source!AV51*Source!I51),2)),2), 2)</f>
        <v>0</v>
      </c>
      <c r="T114" s="9">
        <f>Source!Y51</f>
        <v>0</v>
      </c>
      <c r="U114" s="9">
        <f>ROUND((175/100)*ROUND((ROUND((Source!AE51*Source!AV51*Source!I51),2)),2), 2)</f>
        <v>0</v>
      </c>
      <c r="V114" s="9">
        <f>ROUND((160/100)*ROUND(ROUND((ROUND((Source!AE51*Source!AV51*Source!I51),2)*Source!BS51),2), 2), 2)</f>
        <v>0</v>
      </c>
      <c r="AI114" s="9">
        <v>3</v>
      </c>
    </row>
    <row r="115" spans="1:35" s="9" customFormat="1" x14ac:dyDescent="0.2">
      <c r="C115" s="59" t="s">
        <v>308</v>
      </c>
      <c r="H115" s="60">
        <f>I114+0</f>
        <v>224.4</v>
      </c>
      <c r="I115" s="60"/>
      <c r="J115" s="60">
        <f>K114+0</f>
        <v>1023.26</v>
      </c>
      <c r="K115" s="60"/>
      <c r="O115" s="42">
        <f>I114+0</f>
        <v>224.4</v>
      </c>
      <c r="P115" s="42">
        <f>K114+0</f>
        <v>1023.26</v>
      </c>
      <c r="X115" s="9">
        <f>IF(Source!BI51&lt;=1,I114-0, 0)</f>
        <v>224.4</v>
      </c>
      <c r="Y115" s="9">
        <f>IF(Source!BI51=2,I114-0, 0)</f>
        <v>0</v>
      </c>
      <c r="Z115" s="9">
        <f>IF(Source!BI51=3,I114-0, 0)</f>
        <v>0</v>
      </c>
      <c r="AA115" s="9">
        <f>IF(Source!BI51=4,I114,0)</f>
        <v>0</v>
      </c>
    </row>
    <row r="116" spans="1:35" s="9" customFormat="1" x14ac:dyDescent="0.2"/>
    <row r="117" spans="1:35" s="9" customFormat="1" ht="51" x14ac:dyDescent="0.2">
      <c r="A117" s="54">
        <v>14</v>
      </c>
      <c r="B117" s="54" t="str">
        <f>Source!F52</f>
        <v>1.1-1-2859</v>
      </c>
      <c r="C117" s="54" t="s">
        <v>103</v>
      </c>
      <c r="D117" s="55" t="str">
        <f>Source!H52</f>
        <v>м</v>
      </c>
      <c r="E117" s="56">
        <f>Source!I52</f>
        <v>6</v>
      </c>
      <c r="F117" s="57">
        <f>Source!AL52</f>
        <v>192.05</v>
      </c>
      <c r="G117" s="58" t="str">
        <f>Source!DD52</f>
        <v/>
      </c>
      <c r="H117" s="56">
        <f>Source!AW52</f>
        <v>1</v>
      </c>
      <c r="I117" s="57">
        <f>ROUND((ROUND((Source!AC52*Source!AW52*Source!I52),2)),2)</f>
        <v>1152.3</v>
      </c>
      <c r="J117" s="56">
        <f>IF(Source!BC52&lt;&gt; 0, Source!BC52, 1)</f>
        <v>5.98</v>
      </c>
      <c r="K117" s="57">
        <f>Source!P52</f>
        <v>6890.75</v>
      </c>
      <c r="Q117" s="9">
        <f>ROUND((Source!DN52/100)*ROUND((ROUND((Source!AF52*Source!AV52*Source!I52),2)),2), 2)</f>
        <v>0</v>
      </c>
      <c r="R117" s="9">
        <f>Source!X52</f>
        <v>0</v>
      </c>
      <c r="S117" s="9">
        <f>ROUND((Source!DO52/100)*ROUND((ROUND((Source!AF52*Source!AV52*Source!I52),2)),2), 2)</f>
        <v>0</v>
      </c>
      <c r="T117" s="9">
        <f>Source!Y52</f>
        <v>0</v>
      </c>
      <c r="U117" s="9">
        <f>ROUND((175/100)*ROUND((ROUND((Source!AE52*Source!AV52*Source!I52),2)),2), 2)</f>
        <v>0</v>
      </c>
      <c r="V117" s="9">
        <f>ROUND((160/100)*ROUND(ROUND((ROUND((Source!AE52*Source!AV52*Source!I52),2)*Source!BS52),2), 2), 2)</f>
        <v>0</v>
      </c>
      <c r="AI117" s="9">
        <v>3</v>
      </c>
    </row>
    <row r="118" spans="1:35" s="9" customFormat="1" x14ac:dyDescent="0.2">
      <c r="C118" s="59" t="s">
        <v>308</v>
      </c>
      <c r="H118" s="60">
        <f>I117+0</f>
        <v>1152.3</v>
      </c>
      <c r="I118" s="60"/>
      <c r="J118" s="60">
        <f>K117+0</f>
        <v>6890.75</v>
      </c>
      <c r="K118" s="60"/>
      <c r="O118" s="42">
        <f>I117+0</f>
        <v>1152.3</v>
      </c>
      <c r="P118" s="42">
        <f>K117+0</f>
        <v>6890.75</v>
      </c>
      <c r="X118" s="9">
        <f>IF(Source!BI52&lt;=1,I117-0, 0)</f>
        <v>1152.3</v>
      </c>
      <c r="Y118" s="9">
        <f>IF(Source!BI52=2,I117-0, 0)</f>
        <v>0</v>
      </c>
      <c r="Z118" s="9">
        <f>IF(Source!BI52=3,I117-0, 0)</f>
        <v>0</v>
      </c>
      <c r="AA118" s="9">
        <f>IF(Source!BI52=4,I117,0)</f>
        <v>0</v>
      </c>
    </row>
    <row r="119" spans="1:35" s="9" customFormat="1" x14ac:dyDescent="0.2"/>
    <row r="120" spans="1:35" s="9" customFormat="1" ht="38.25" x14ac:dyDescent="0.2">
      <c r="A120" s="48">
        <v>15</v>
      </c>
      <c r="B120" s="48" t="str">
        <f>Source!F53</f>
        <v>3.8-2-5</v>
      </c>
      <c r="C120" s="48" t="s">
        <v>107</v>
      </c>
      <c r="D120" s="66" t="str">
        <f>Source!H53</f>
        <v>100 м2 изолируемой поверхности</v>
      </c>
      <c r="E120" s="50">
        <f>Source!I53</f>
        <v>0.01</v>
      </c>
      <c r="F120" s="51"/>
      <c r="G120" s="52"/>
      <c r="H120" s="50"/>
      <c r="I120" s="51"/>
      <c r="J120" s="50"/>
      <c r="K120" s="51"/>
      <c r="Q120" s="9">
        <f>ROUND((Source!DN53/100)*ROUND((ROUND((Source!AF53*Source!AV53*Source!I53),2)),2), 2)</f>
        <v>8.4499999999999993</v>
      </c>
      <c r="R120" s="9">
        <f>Source!X53</f>
        <v>213.46</v>
      </c>
      <c r="S120" s="9">
        <f>ROUND((Source!DO53/100)*ROUND((ROUND((Source!AF53*Source!AV53*Source!I53),2)),2), 2)</f>
        <v>6.2</v>
      </c>
      <c r="T120" s="9">
        <f>Source!Y53</f>
        <v>100.6</v>
      </c>
      <c r="U120" s="9">
        <f>ROUND((175/100)*ROUND((ROUND((Source!AE53*Source!AV53*Source!I53),2)),2), 2)</f>
        <v>0.18</v>
      </c>
      <c r="V120" s="9">
        <f>ROUND((160/100)*ROUND(ROUND((ROUND((Source!AE53*Source!AV53*Source!I53),2)*Source!BS53),2), 2), 2)</f>
        <v>4.88</v>
      </c>
      <c r="AI120" s="9">
        <v>0</v>
      </c>
    </row>
    <row r="121" spans="1:35" s="9" customFormat="1" x14ac:dyDescent="0.2">
      <c r="C121" s="22" t="str">
        <f>"Объем: "&amp;Source!I53&amp;"=1/"&amp;"100"</f>
        <v>Объем: 0,01=1/100</v>
      </c>
    </row>
    <row r="122" spans="1:35" s="9" customFormat="1" x14ac:dyDescent="0.2">
      <c r="A122" s="48"/>
      <c r="B122" s="48"/>
      <c r="C122" s="48" t="s">
        <v>299</v>
      </c>
      <c r="D122" s="49"/>
      <c r="E122" s="50"/>
      <c r="F122" s="51">
        <f>Source!AO53</f>
        <v>582.19000000000005</v>
      </c>
      <c r="G122" s="52" t="str">
        <f>Source!DG53</f>
        <v>)*1,2)*1,1</v>
      </c>
      <c r="H122" s="50">
        <f>Source!AV53</f>
        <v>1.0469999999999999</v>
      </c>
      <c r="I122" s="51">
        <f>ROUND((ROUND((Source!AF53*Source!AV53*Source!I53),2)),2)</f>
        <v>8.0500000000000007</v>
      </c>
      <c r="J122" s="50">
        <f>IF(Source!BA53&lt;&gt; 0, Source!BA53, 1)</f>
        <v>30.48</v>
      </c>
      <c r="K122" s="51">
        <f>Source!S53</f>
        <v>245.36</v>
      </c>
      <c r="W122" s="9">
        <f>I122</f>
        <v>8.0500000000000007</v>
      </c>
    </row>
    <row r="123" spans="1:35" s="9" customFormat="1" x14ac:dyDescent="0.2">
      <c r="A123" s="48"/>
      <c r="B123" s="48"/>
      <c r="C123" s="48" t="s">
        <v>300</v>
      </c>
      <c r="D123" s="49"/>
      <c r="E123" s="50"/>
      <c r="F123" s="51">
        <f>Source!AM53</f>
        <v>89.81</v>
      </c>
      <c r="G123" s="52" t="str">
        <f>Source!DE53</f>
        <v>)*1,2)*1,1</v>
      </c>
      <c r="H123" s="50">
        <f>Source!AV53</f>
        <v>1.0469999999999999</v>
      </c>
      <c r="I123" s="51">
        <f>(ROUND((ROUND(((((Source!ET53*1.2)*1.1))*Source!AV53*Source!I53),2)),2)+ROUND((ROUND(((Source!AE53-(((Source!EU53*1.2)*1.1)))*Source!AV53*Source!I53),2)),2))</f>
        <v>1.24</v>
      </c>
      <c r="J123" s="50">
        <f>IF(Source!BB53&lt;&gt; 0, Source!BB53, 1)</f>
        <v>11.47</v>
      </c>
      <c r="K123" s="51">
        <f>Source!Q53</f>
        <v>14.22</v>
      </c>
    </row>
    <row r="124" spans="1:35" s="9" customFormat="1" x14ac:dyDescent="0.2">
      <c r="A124" s="48"/>
      <c r="B124" s="48"/>
      <c r="C124" s="48" t="s">
        <v>301</v>
      </c>
      <c r="D124" s="49"/>
      <c r="E124" s="50"/>
      <c r="F124" s="51">
        <f>Source!AN53</f>
        <v>6.94</v>
      </c>
      <c r="G124" s="52" t="str">
        <f>Source!DF53</f>
        <v>)*1,2)*1,1</v>
      </c>
      <c r="H124" s="50">
        <f>Source!AV53</f>
        <v>1.0469999999999999</v>
      </c>
      <c r="I124" s="53">
        <f>ROUND((ROUND((Source!AE53*Source!AV53*Source!I53),2)),2)</f>
        <v>0.1</v>
      </c>
      <c r="J124" s="50">
        <f>IF(Source!BS53&lt;&gt; 0, Source!BS53, 1)</f>
        <v>30.48</v>
      </c>
      <c r="K124" s="53">
        <f>Source!R53</f>
        <v>3.05</v>
      </c>
      <c r="W124" s="9">
        <f>I124</f>
        <v>0.1</v>
      </c>
    </row>
    <row r="125" spans="1:35" s="9" customFormat="1" x14ac:dyDescent="0.2">
      <c r="A125" s="48"/>
      <c r="B125" s="48"/>
      <c r="C125" s="48" t="s">
        <v>309</v>
      </c>
      <c r="D125" s="49"/>
      <c r="E125" s="50"/>
      <c r="F125" s="51">
        <f>Source!AL53</f>
        <v>237.53</v>
      </c>
      <c r="G125" s="52" t="str">
        <f>Source!DD53</f>
        <v>)*1)*1</v>
      </c>
      <c r="H125" s="50">
        <f>Source!AW53</f>
        <v>1.0680000000000001</v>
      </c>
      <c r="I125" s="51">
        <f>ROUND((ROUND((Source!AC53*Source!AW53*Source!I53),2)),2)</f>
        <v>2.54</v>
      </c>
      <c r="J125" s="50">
        <f>IF(Source!BC53&lt;&gt; 0, Source!BC53, 1)</f>
        <v>6.68</v>
      </c>
      <c r="K125" s="51">
        <f>Source!P53</f>
        <v>16.97</v>
      </c>
    </row>
    <row r="126" spans="1:35" s="9" customFormat="1" x14ac:dyDescent="0.2">
      <c r="A126" s="48"/>
      <c r="B126" s="48"/>
      <c r="C126" s="48" t="s">
        <v>302</v>
      </c>
      <c r="D126" s="49" t="s">
        <v>303</v>
      </c>
      <c r="E126" s="50">
        <f>Source!DN53</f>
        <v>105</v>
      </c>
      <c r="F126" s="51"/>
      <c r="G126" s="52"/>
      <c r="H126" s="50"/>
      <c r="I126" s="51">
        <f>SUM(Q120:Q125)</f>
        <v>8.4499999999999993</v>
      </c>
      <c r="J126" s="50">
        <f>Source!BZ53</f>
        <v>87</v>
      </c>
      <c r="K126" s="51">
        <f>SUM(R120:R125)</f>
        <v>213.46</v>
      </c>
    </row>
    <row r="127" spans="1:35" s="9" customFormat="1" x14ac:dyDescent="0.2">
      <c r="A127" s="48"/>
      <c r="B127" s="48"/>
      <c r="C127" s="48" t="s">
        <v>304</v>
      </c>
      <c r="D127" s="49" t="s">
        <v>303</v>
      </c>
      <c r="E127" s="50">
        <f>Source!DO53</f>
        <v>77</v>
      </c>
      <c r="F127" s="51"/>
      <c r="G127" s="52"/>
      <c r="H127" s="50"/>
      <c r="I127" s="51">
        <f>SUM(S120:S126)</f>
        <v>6.2</v>
      </c>
      <c r="J127" s="50">
        <f>Source!CA53</f>
        <v>41</v>
      </c>
      <c r="K127" s="51">
        <f>SUM(T120:T126)</f>
        <v>100.6</v>
      </c>
    </row>
    <row r="128" spans="1:35" s="9" customFormat="1" x14ac:dyDescent="0.2">
      <c r="A128" s="48"/>
      <c r="B128" s="48"/>
      <c r="C128" s="48" t="s">
        <v>305</v>
      </c>
      <c r="D128" s="49" t="s">
        <v>303</v>
      </c>
      <c r="E128" s="50">
        <f>175</f>
        <v>175</v>
      </c>
      <c r="F128" s="51"/>
      <c r="G128" s="52"/>
      <c r="H128" s="50"/>
      <c r="I128" s="51">
        <f>SUM(U120:U127)</f>
        <v>0.18</v>
      </c>
      <c r="J128" s="50">
        <f>160</f>
        <v>160</v>
      </c>
      <c r="K128" s="51">
        <f>SUM(V120:V127)</f>
        <v>4.88</v>
      </c>
    </row>
    <row r="129" spans="1:35" s="9" customFormat="1" x14ac:dyDescent="0.2">
      <c r="A129" s="54"/>
      <c r="B129" s="54"/>
      <c r="C129" s="54" t="s">
        <v>306</v>
      </c>
      <c r="D129" s="55" t="s">
        <v>307</v>
      </c>
      <c r="E129" s="56">
        <f>Source!AQ53</f>
        <v>46.8</v>
      </c>
      <c r="F129" s="57"/>
      <c r="G129" s="58" t="str">
        <f>Source!DI53</f>
        <v>)*1,2)*1,1</v>
      </c>
      <c r="H129" s="56">
        <f>Source!AV53</f>
        <v>1.0469999999999999</v>
      </c>
      <c r="I129" s="57">
        <f>Source!U53</f>
        <v>0.64679472000000005</v>
      </c>
      <c r="J129" s="56"/>
      <c r="K129" s="57"/>
      <c r="AB129" s="42">
        <f>I129</f>
        <v>0.64679472000000005</v>
      </c>
    </row>
    <row r="130" spans="1:35" s="9" customFormat="1" x14ac:dyDescent="0.2">
      <c r="C130" s="59" t="s">
        <v>308</v>
      </c>
      <c r="H130" s="60">
        <f>I122+I123+I125+I126+I127+I128+0</f>
        <v>26.66</v>
      </c>
      <c r="I130" s="60"/>
      <c r="J130" s="60">
        <f>K122+K123+K125+K126+K127+K128+0</f>
        <v>595.49000000000012</v>
      </c>
      <c r="K130" s="60"/>
      <c r="O130" s="42">
        <f>I122+I123+I125+I126+I127+I128+0</f>
        <v>26.66</v>
      </c>
      <c r="P130" s="42">
        <f>K122+K123+K125+K126+K127+K128+0</f>
        <v>595.49000000000012</v>
      </c>
      <c r="X130" s="9">
        <f>IF(Source!BI53&lt;=1,I122+I123+I125+I126+I127+I128-0, 0)</f>
        <v>26.66</v>
      </c>
      <c r="Y130" s="9">
        <f>IF(Source!BI53=2,I122+I123+I125+I126+I127+I128-0, 0)</f>
        <v>0</v>
      </c>
      <c r="Z130" s="9">
        <f>IF(Source!BI53=3,I122+I123+I125+I126+I127+I128-0, 0)</f>
        <v>0</v>
      </c>
      <c r="AA130" s="9">
        <f>IF(Source!BI53=4,I122+I123+I125+I126+I127+I128,0)</f>
        <v>0</v>
      </c>
    </row>
    <row r="131" spans="1:35" s="9" customFormat="1" x14ac:dyDescent="0.2"/>
    <row r="132" spans="1:35" s="9" customFormat="1" ht="33.75" x14ac:dyDescent="0.2">
      <c r="A132" s="48">
        <v>16</v>
      </c>
      <c r="B132" s="48" t="str">
        <f>Source!F54</f>
        <v>3.8-2-3</v>
      </c>
      <c r="C132" s="48" t="s">
        <v>114</v>
      </c>
      <c r="D132" s="66" t="str">
        <f>Source!H54</f>
        <v>100 м2 изолируемой поверхности</v>
      </c>
      <c r="E132" s="50">
        <f>Source!I54</f>
        <v>0.01</v>
      </c>
      <c r="F132" s="51"/>
      <c r="G132" s="52"/>
      <c r="H132" s="50"/>
      <c r="I132" s="51"/>
      <c r="J132" s="50"/>
      <c r="K132" s="51"/>
      <c r="Q132" s="9">
        <f>ROUND((Source!DN54/100)*ROUND((ROUND((Source!AF54*Source!AV54*Source!I54),2)),2), 2)</f>
        <v>3.27</v>
      </c>
      <c r="R132" s="9">
        <f>Source!X54</f>
        <v>82.47</v>
      </c>
      <c r="S132" s="9">
        <f>ROUND((Source!DO54/100)*ROUND((ROUND((Source!AF54*Source!AV54*Source!I54),2)),2), 2)</f>
        <v>2.39</v>
      </c>
      <c r="T132" s="9">
        <f>Source!Y54</f>
        <v>38.86</v>
      </c>
      <c r="U132" s="9">
        <f>ROUND((175/100)*ROUND((ROUND((Source!AE54*Source!AV54*Source!I54),2)),2), 2)</f>
        <v>0.21</v>
      </c>
      <c r="V132" s="9">
        <f>ROUND((160/100)*ROUND(ROUND((ROUND((Source!AE54*Source!AV54*Source!I54),2)*Source!BS54),2), 2), 2)</f>
        <v>5.86</v>
      </c>
      <c r="AI132" s="9">
        <v>0</v>
      </c>
    </row>
    <row r="133" spans="1:35" s="9" customFormat="1" x14ac:dyDescent="0.2">
      <c r="C133" s="22" t="str">
        <f>"Объем: "&amp;Source!I54&amp;"=1/"&amp;"100"</f>
        <v>Объем: 0,01=1/100</v>
      </c>
    </row>
    <row r="134" spans="1:35" s="9" customFormat="1" x14ac:dyDescent="0.2">
      <c r="A134" s="48"/>
      <c r="B134" s="48"/>
      <c r="C134" s="48" t="s">
        <v>299</v>
      </c>
      <c r="D134" s="49"/>
      <c r="E134" s="50"/>
      <c r="F134" s="51">
        <f>Source!AO54</f>
        <v>224.72</v>
      </c>
      <c r="G134" s="52" t="str">
        <f>Source!DG54</f>
        <v>)*1,2)*1,1</v>
      </c>
      <c r="H134" s="50">
        <f>Source!AV54</f>
        <v>1.0469999999999999</v>
      </c>
      <c r="I134" s="51">
        <f>ROUND((ROUND((Source!AF54*Source!AV54*Source!I54),2)),2)</f>
        <v>3.11</v>
      </c>
      <c r="J134" s="50">
        <f>IF(Source!BA54&lt;&gt; 0, Source!BA54, 1)</f>
        <v>30.48</v>
      </c>
      <c r="K134" s="51">
        <f>Source!S54</f>
        <v>94.79</v>
      </c>
      <c r="W134" s="9">
        <f>I134</f>
        <v>3.11</v>
      </c>
    </row>
    <row r="135" spans="1:35" s="9" customFormat="1" x14ac:dyDescent="0.2">
      <c r="A135" s="48"/>
      <c r="B135" s="48"/>
      <c r="C135" s="48" t="s">
        <v>300</v>
      </c>
      <c r="D135" s="49"/>
      <c r="E135" s="50"/>
      <c r="F135" s="51">
        <f>Source!AM54</f>
        <v>100.18</v>
      </c>
      <c r="G135" s="52" t="str">
        <f>Source!DE54</f>
        <v>)*1,2)*1,1</v>
      </c>
      <c r="H135" s="50">
        <f>Source!AV54</f>
        <v>1.0469999999999999</v>
      </c>
      <c r="I135" s="51">
        <f>(ROUND((ROUND(((((Source!ET54*1.2)*1.1))*Source!AV54*Source!I54),2)),2)+ROUND((ROUND(((Source!AE54-(((Source!EU54*1.2)*1.1)))*Source!AV54*Source!I54),2)),2))</f>
        <v>1.38</v>
      </c>
      <c r="J135" s="50">
        <f>IF(Source!BB54&lt;&gt; 0, Source!BB54, 1)</f>
        <v>11.57</v>
      </c>
      <c r="K135" s="51">
        <f>Source!Q54</f>
        <v>15.97</v>
      </c>
    </row>
    <row r="136" spans="1:35" s="9" customFormat="1" x14ac:dyDescent="0.2">
      <c r="A136" s="48"/>
      <c r="B136" s="48"/>
      <c r="C136" s="48" t="s">
        <v>301</v>
      </c>
      <c r="D136" s="49"/>
      <c r="E136" s="50"/>
      <c r="F136" s="51">
        <f>Source!AN54</f>
        <v>8.83</v>
      </c>
      <c r="G136" s="52" t="str">
        <f>Source!DF54</f>
        <v>)*1,2)*1,1</v>
      </c>
      <c r="H136" s="50">
        <f>Source!AV54</f>
        <v>1.0469999999999999</v>
      </c>
      <c r="I136" s="53">
        <f>ROUND((ROUND((Source!AE54*Source!AV54*Source!I54),2)),2)</f>
        <v>0.12</v>
      </c>
      <c r="J136" s="50">
        <f>IF(Source!BS54&lt;&gt; 0, Source!BS54, 1)</f>
        <v>30.48</v>
      </c>
      <c r="K136" s="53">
        <f>Source!R54</f>
        <v>3.66</v>
      </c>
      <c r="W136" s="9">
        <f>I136</f>
        <v>0.12</v>
      </c>
    </row>
    <row r="137" spans="1:35" s="9" customFormat="1" x14ac:dyDescent="0.2">
      <c r="A137" s="48"/>
      <c r="B137" s="48"/>
      <c r="C137" s="48" t="s">
        <v>309</v>
      </c>
      <c r="D137" s="49"/>
      <c r="E137" s="50"/>
      <c r="F137" s="51">
        <f>Source!AL54</f>
        <v>237.53</v>
      </c>
      <c r="G137" s="52" t="str">
        <f>Source!DD54</f>
        <v>)*1)*1</v>
      </c>
      <c r="H137" s="50">
        <f>Source!AW54</f>
        <v>1.0680000000000001</v>
      </c>
      <c r="I137" s="51">
        <f>ROUND((ROUND((Source!AC54*Source!AW54*Source!I54),2)),2)</f>
        <v>2.54</v>
      </c>
      <c r="J137" s="50">
        <f>IF(Source!BC54&lt;&gt; 0, Source!BC54, 1)</f>
        <v>6.68</v>
      </c>
      <c r="K137" s="51">
        <f>Source!P54</f>
        <v>16.97</v>
      </c>
    </row>
    <row r="138" spans="1:35" s="9" customFormat="1" x14ac:dyDescent="0.2">
      <c r="A138" s="48"/>
      <c r="B138" s="48"/>
      <c r="C138" s="48" t="s">
        <v>302</v>
      </c>
      <c r="D138" s="49" t="s">
        <v>303</v>
      </c>
      <c r="E138" s="50">
        <f>Source!DN54</f>
        <v>105</v>
      </c>
      <c r="F138" s="51"/>
      <c r="G138" s="52"/>
      <c r="H138" s="50"/>
      <c r="I138" s="51">
        <f>SUM(Q132:Q137)</f>
        <v>3.27</v>
      </c>
      <c r="J138" s="50">
        <f>Source!BZ54</f>
        <v>87</v>
      </c>
      <c r="K138" s="51">
        <f>SUM(R132:R137)</f>
        <v>82.47</v>
      </c>
    </row>
    <row r="139" spans="1:35" s="9" customFormat="1" x14ac:dyDescent="0.2">
      <c r="A139" s="48"/>
      <c r="B139" s="48"/>
      <c r="C139" s="48" t="s">
        <v>304</v>
      </c>
      <c r="D139" s="49" t="s">
        <v>303</v>
      </c>
      <c r="E139" s="50">
        <f>Source!DO54</f>
        <v>77</v>
      </c>
      <c r="F139" s="51"/>
      <c r="G139" s="52"/>
      <c r="H139" s="50"/>
      <c r="I139" s="51">
        <f>SUM(S132:S138)</f>
        <v>2.39</v>
      </c>
      <c r="J139" s="50">
        <f>Source!CA54</f>
        <v>41</v>
      </c>
      <c r="K139" s="51">
        <f>SUM(T132:T138)</f>
        <v>38.86</v>
      </c>
    </row>
    <row r="140" spans="1:35" s="9" customFormat="1" x14ac:dyDescent="0.2">
      <c r="A140" s="48"/>
      <c r="B140" s="48"/>
      <c r="C140" s="48" t="s">
        <v>305</v>
      </c>
      <c r="D140" s="49" t="s">
        <v>303</v>
      </c>
      <c r="E140" s="50">
        <f>175</f>
        <v>175</v>
      </c>
      <c r="F140" s="51"/>
      <c r="G140" s="52"/>
      <c r="H140" s="50"/>
      <c r="I140" s="51">
        <f>SUM(U132:U139)</f>
        <v>0.21</v>
      </c>
      <c r="J140" s="50">
        <f>160</f>
        <v>160</v>
      </c>
      <c r="K140" s="51">
        <f>SUM(V132:V139)</f>
        <v>5.86</v>
      </c>
    </row>
    <row r="141" spans="1:35" s="9" customFormat="1" x14ac:dyDescent="0.2">
      <c r="A141" s="54"/>
      <c r="B141" s="54"/>
      <c r="C141" s="54" t="s">
        <v>306</v>
      </c>
      <c r="D141" s="55" t="s">
        <v>307</v>
      </c>
      <c r="E141" s="56">
        <f>Source!AQ54</f>
        <v>20.100000000000001</v>
      </c>
      <c r="F141" s="57"/>
      <c r="G141" s="58" t="str">
        <f>Source!DI54</f>
        <v>)*1,2)*1,1</v>
      </c>
      <c r="H141" s="56">
        <f>Source!AV54</f>
        <v>1.0469999999999999</v>
      </c>
      <c r="I141" s="57">
        <f>Source!U54</f>
        <v>0.27779004000000002</v>
      </c>
      <c r="J141" s="56"/>
      <c r="K141" s="57"/>
      <c r="AB141" s="42">
        <f>I141</f>
        <v>0.27779004000000002</v>
      </c>
    </row>
    <row r="142" spans="1:35" s="9" customFormat="1" x14ac:dyDescent="0.2">
      <c r="C142" s="59" t="s">
        <v>308</v>
      </c>
      <c r="H142" s="60">
        <f>I134+I135+I137+I138+I139+I140+0</f>
        <v>12.900000000000002</v>
      </c>
      <c r="I142" s="60"/>
      <c r="J142" s="60">
        <f>K134+K135+K137+K138+K139+K140+0</f>
        <v>254.92000000000002</v>
      </c>
      <c r="K142" s="60"/>
      <c r="O142" s="42">
        <f>I134+I135+I137+I138+I139+I140+0</f>
        <v>12.900000000000002</v>
      </c>
      <c r="P142" s="42">
        <f>K134+K135+K137+K138+K139+K140+0</f>
        <v>254.92000000000002</v>
      </c>
      <c r="X142" s="9">
        <f>IF(Source!BI54&lt;=1,I134+I135+I137+I138+I139+I140-0, 0)</f>
        <v>12.900000000000002</v>
      </c>
      <c r="Y142" s="9">
        <f>IF(Source!BI54=2,I134+I135+I137+I138+I139+I140-0, 0)</f>
        <v>0</v>
      </c>
      <c r="Z142" s="9">
        <f>IF(Source!BI54=3,I134+I135+I137+I138+I139+I140-0, 0)</f>
        <v>0</v>
      </c>
      <c r="AA142" s="9">
        <f>IF(Source!BI54=4,I134+I135+I137+I138+I139+I140,0)</f>
        <v>0</v>
      </c>
    </row>
    <row r="143" spans="1:35" s="9" customFormat="1" x14ac:dyDescent="0.2"/>
    <row r="144" spans="1:35" s="9" customFormat="1" x14ac:dyDescent="0.2">
      <c r="A144" s="54">
        <v>17</v>
      </c>
      <c r="B144" s="54" t="str">
        <f>Source!F55</f>
        <v>1.3-2-5</v>
      </c>
      <c r="C144" s="54" t="s">
        <v>118</v>
      </c>
      <c r="D144" s="55" t="str">
        <f>Source!H55</f>
        <v>м3</v>
      </c>
      <c r="E144" s="56">
        <f>Source!I55</f>
        <v>0.125</v>
      </c>
      <c r="F144" s="57">
        <f>Source!AL55</f>
        <v>451.14</v>
      </c>
      <c r="G144" s="58" t="str">
        <f>Source!DD55</f>
        <v/>
      </c>
      <c r="H144" s="56">
        <f>Source!AW55</f>
        <v>1</v>
      </c>
      <c r="I144" s="57">
        <f>ROUND((ROUND((Source!AC55*Source!AW55*Source!I55),2)),2)</f>
        <v>56.39</v>
      </c>
      <c r="J144" s="56">
        <f>IF(Source!BC55&lt;&gt; 0, Source!BC55, 1)</f>
        <v>9.6</v>
      </c>
      <c r="K144" s="57">
        <f>Source!P55</f>
        <v>541.34</v>
      </c>
      <c r="Q144" s="9">
        <f>ROUND((Source!DN55/100)*ROUND((ROUND((Source!AF55*Source!AV55*Source!I55),2)),2), 2)</f>
        <v>0</v>
      </c>
      <c r="R144" s="9">
        <f>Source!X55</f>
        <v>0</v>
      </c>
      <c r="S144" s="9">
        <f>ROUND((Source!DO55/100)*ROUND((ROUND((Source!AF55*Source!AV55*Source!I55),2)),2), 2)</f>
        <v>0</v>
      </c>
      <c r="T144" s="9">
        <f>Source!Y55</f>
        <v>0</v>
      </c>
      <c r="U144" s="9">
        <f>ROUND((175/100)*ROUND((ROUND((Source!AE55*Source!AV55*Source!I55),2)),2), 2)</f>
        <v>0</v>
      </c>
      <c r="V144" s="9">
        <f>ROUND((160/100)*ROUND(ROUND((ROUND((Source!AE55*Source!AV55*Source!I55),2)*Source!BS55),2), 2), 2)</f>
        <v>0</v>
      </c>
      <c r="AI144" s="9">
        <v>3</v>
      </c>
    </row>
    <row r="145" spans="1:35" s="9" customFormat="1" x14ac:dyDescent="0.2">
      <c r="C145" s="59" t="s">
        <v>308</v>
      </c>
      <c r="H145" s="60">
        <f>I144+0</f>
        <v>56.39</v>
      </c>
      <c r="I145" s="60"/>
      <c r="J145" s="60">
        <f>K144+0</f>
        <v>541.34</v>
      </c>
      <c r="K145" s="60"/>
      <c r="O145" s="42">
        <f>I144+0</f>
        <v>56.39</v>
      </c>
      <c r="P145" s="42">
        <f>K144+0</f>
        <v>541.34</v>
      </c>
      <c r="X145" s="9">
        <f>IF(Source!BI55&lt;=1,I144-0, 0)</f>
        <v>56.39</v>
      </c>
      <c r="Y145" s="9">
        <f>IF(Source!BI55=2,I144-0, 0)</f>
        <v>0</v>
      </c>
      <c r="Z145" s="9">
        <f>IF(Source!BI55=3,I144-0, 0)</f>
        <v>0</v>
      </c>
      <c r="AA145" s="9">
        <f>IF(Source!BI55=4,I144,0)</f>
        <v>0</v>
      </c>
    </row>
    <row r="146" spans="1:35" s="9" customFormat="1" x14ac:dyDescent="0.2"/>
    <row r="147" spans="1:35" s="9" customFormat="1" ht="127.5" x14ac:dyDescent="0.2">
      <c r="A147" s="54">
        <v>18</v>
      </c>
      <c r="B147" s="54" t="str">
        <f>Source!F56</f>
        <v>1.1-1-1314</v>
      </c>
      <c r="C147" s="54" t="s">
        <v>268</v>
      </c>
      <c r="D147" s="55" t="str">
        <f>Source!H56</f>
        <v>м2</v>
      </c>
      <c r="E147" s="56">
        <f>Source!I56</f>
        <v>5</v>
      </c>
      <c r="F147" s="57">
        <f>Source!AL56</f>
        <v>31.3</v>
      </c>
      <c r="G147" s="58" t="str">
        <f>Source!DD56</f>
        <v/>
      </c>
      <c r="H147" s="56">
        <f>Source!AW56</f>
        <v>1</v>
      </c>
      <c r="I147" s="57">
        <f>ROUND((ROUND((Source!AC56*Source!AW56*Source!I56),2)),2)</f>
        <v>156.5</v>
      </c>
      <c r="J147" s="56">
        <f>IF(Source!BC56&lt;&gt; 0, Source!BC56, 1)</f>
        <v>9.8699999999999992</v>
      </c>
      <c r="K147" s="57">
        <f>Source!P56</f>
        <v>1544.66</v>
      </c>
      <c r="Q147" s="9">
        <f>ROUND((Source!DN56/100)*ROUND((ROUND((Source!AF56*Source!AV56*Source!I56),2)),2), 2)</f>
        <v>0</v>
      </c>
      <c r="R147" s="9">
        <f>Source!X56</f>
        <v>0</v>
      </c>
      <c r="S147" s="9">
        <f>ROUND((Source!DO56/100)*ROUND((ROUND((Source!AF56*Source!AV56*Source!I56),2)),2), 2)</f>
        <v>0</v>
      </c>
      <c r="T147" s="9">
        <f>Source!Y56</f>
        <v>0</v>
      </c>
      <c r="U147" s="9">
        <f>ROUND((175/100)*ROUND((ROUND((Source!AE56*Source!AV56*Source!I56),2)),2), 2)</f>
        <v>0</v>
      </c>
      <c r="V147" s="9">
        <f>ROUND((160/100)*ROUND(ROUND((ROUND((Source!AE56*Source!AV56*Source!I56),2)*Source!BS56),2), 2), 2)</f>
        <v>0</v>
      </c>
      <c r="AI147" s="9">
        <v>3</v>
      </c>
    </row>
    <row r="148" spans="1:35" s="9" customFormat="1" x14ac:dyDescent="0.2">
      <c r="C148" s="59" t="s">
        <v>308</v>
      </c>
      <c r="H148" s="60">
        <f>I147+0</f>
        <v>156.5</v>
      </c>
      <c r="I148" s="60"/>
      <c r="J148" s="60">
        <f>K147+0</f>
        <v>1544.66</v>
      </c>
      <c r="K148" s="60"/>
      <c r="O148" s="42">
        <f>I147+0</f>
        <v>156.5</v>
      </c>
      <c r="P148" s="42">
        <f>K147+0</f>
        <v>1544.66</v>
      </c>
      <c r="X148" s="9">
        <f>IF(Source!BI56&lt;=1,I147-0, 0)</f>
        <v>156.5</v>
      </c>
      <c r="Y148" s="9">
        <f>IF(Source!BI56=2,I147-0, 0)</f>
        <v>0</v>
      </c>
      <c r="Z148" s="9">
        <f>IF(Source!BI56=3,I147-0, 0)</f>
        <v>0</v>
      </c>
      <c r="AA148" s="9">
        <f>IF(Source!BI56=4,I147,0)</f>
        <v>0</v>
      </c>
    </row>
    <row r="149" spans="1:35" s="9" customFormat="1" x14ac:dyDescent="0.2"/>
    <row r="150" spans="1:35" s="9" customFormat="1" ht="102" x14ac:dyDescent="0.2">
      <c r="A150" s="54">
        <v>19</v>
      </c>
      <c r="B150" s="54" t="str">
        <f>Source!F57</f>
        <v>1.1-1-613</v>
      </c>
      <c r="C150" s="54" t="s">
        <v>269</v>
      </c>
      <c r="D150" s="55" t="str">
        <f>Source!H57</f>
        <v>т</v>
      </c>
      <c r="E150" s="56">
        <f>Source!I57</f>
        <v>0.01</v>
      </c>
      <c r="F150" s="57">
        <f>Source!AL57</f>
        <v>11626.84</v>
      </c>
      <c r="G150" s="58" t="str">
        <f>Source!DD57</f>
        <v/>
      </c>
      <c r="H150" s="56">
        <f>Source!AW57</f>
        <v>1</v>
      </c>
      <c r="I150" s="57">
        <f>ROUND((ROUND((Source!AC57*Source!AW57*Source!I57),2)),2)</f>
        <v>116.27</v>
      </c>
      <c r="J150" s="56">
        <f>IF(Source!BC57&lt;&gt; 0, Source!BC57, 1)</f>
        <v>2.91</v>
      </c>
      <c r="K150" s="57">
        <f>Source!P57</f>
        <v>338.35</v>
      </c>
      <c r="Q150" s="9">
        <f>ROUND((Source!DN57/100)*ROUND((ROUND((Source!AF57*Source!AV57*Source!I57),2)),2), 2)</f>
        <v>0</v>
      </c>
      <c r="R150" s="9">
        <f>Source!X57</f>
        <v>0</v>
      </c>
      <c r="S150" s="9">
        <f>ROUND((Source!DO57/100)*ROUND((ROUND((Source!AF57*Source!AV57*Source!I57),2)),2), 2)</f>
        <v>0</v>
      </c>
      <c r="T150" s="9">
        <f>Source!Y57</f>
        <v>0</v>
      </c>
      <c r="U150" s="9">
        <f>ROUND((175/100)*ROUND((ROUND((Source!AE57*Source!AV57*Source!I57),2)),2), 2)</f>
        <v>0</v>
      </c>
      <c r="V150" s="9">
        <f>ROUND((160/100)*ROUND(ROUND((ROUND((Source!AE57*Source!AV57*Source!I57),2)*Source!BS57),2), 2), 2)</f>
        <v>0</v>
      </c>
      <c r="AI150" s="9">
        <v>3</v>
      </c>
    </row>
    <row r="151" spans="1:35" s="9" customFormat="1" x14ac:dyDescent="0.2">
      <c r="C151" s="59" t="s">
        <v>308</v>
      </c>
      <c r="H151" s="60">
        <f>I150+0</f>
        <v>116.27</v>
      </c>
      <c r="I151" s="60"/>
      <c r="J151" s="60">
        <f>K150+0</f>
        <v>338.35</v>
      </c>
      <c r="K151" s="60"/>
      <c r="O151" s="42">
        <f>I150+0</f>
        <v>116.27</v>
      </c>
      <c r="P151" s="42">
        <f>K150+0</f>
        <v>338.35</v>
      </c>
      <c r="X151" s="9">
        <f>IF(Source!BI57&lt;=1,I150-0, 0)</f>
        <v>116.27</v>
      </c>
      <c r="Y151" s="9">
        <f>IF(Source!BI57=2,I150-0, 0)</f>
        <v>0</v>
      </c>
      <c r="Z151" s="9">
        <f>IF(Source!BI57=3,I150-0, 0)</f>
        <v>0</v>
      </c>
      <c r="AA151" s="9">
        <f>IF(Source!BI57=4,I150,0)</f>
        <v>0</v>
      </c>
    </row>
    <row r="152" spans="1:35" s="9" customFormat="1" x14ac:dyDescent="0.2"/>
    <row r="153" spans="1:35" s="9" customFormat="1" ht="51" x14ac:dyDescent="0.2">
      <c r="A153" s="48">
        <v>20</v>
      </c>
      <c r="B153" s="48" t="str">
        <f>Source!F58</f>
        <v>6.69-24-7</v>
      </c>
      <c r="C153" s="48" t="s">
        <v>129</v>
      </c>
      <c r="D153" s="49" t="str">
        <f>Source!H58</f>
        <v>100 отверстий</v>
      </c>
      <c r="E153" s="50">
        <f>Source!I58</f>
        <v>0.12</v>
      </c>
      <c r="F153" s="51"/>
      <c r="G153" s="52"/>
      <c r="H153" s="50"/>
      <c r="I153" s="51"/>
      <c r="J153" s="50"/>
      <c r="K153" s="51"/>
      <c r="Q153" s="9">
        <f>ROUND((Source!DN58/100)*ROUND((ROUND((Source!AF58*Source!AV58*Source!I58),2)),2), 2)</f>
        <v>14.64</v>
      </c>
      <c r="R153" s="9">
        <f>Source!X58</f>
        <v>367.82</v>
      </c>
      <c r="S153" s="9">
        <f>ROUND((Source!DO58/100)*ROUND((ROUND((Source!AF58*Source!AV58*Source!I58),2)),2), 2)</f>
        <v>11.26</v>
      </c>
      <c r="T153" s="9">
        <f>Source!Y58</f>
        <v>201.07</v>
      </c>
      <c r="U153" s="9">
        <f>ROUND((175/100)*ROUND((ROUND((Source!AE58*Source!AV58*Source!I58),2)),2), 2)</f>
        <v>0</v>
      </c>
      <c r="V153" s="9">
        <f>ROUND((160/100)*ROUND(ROUND((ROUND((Source!AE58*Source!AV58*Source!I58),2)*Source!BS58),2), 2), 2)</f>
        <v>0</v>
      </c>
      <c r="AI153" s="9">
        <v>0</v>
      </c>
    </row>
    <row r="154" spans="1:35" s="9" customFormat="1" x14ac:dyDescent="0.2">
      <c r="C154" s="22" t="str">
        <f>"Объем: "&amp;Source!I58&amp;"=12/"&amp;"100"</f>
        <v>Объем: 0,12=12/100</v>
      </c>
    </row>
    <row r="155" spans="1:35" s="9" customFormat="1" x14ac:dyDescent="0.2">
      <c r="A155" s="48"/>
      <c r="B155" s="48"/>
      <c r="C155" s="48" t="s">
        <v>299</v>
      </c>
      <c r="D155" s="49"/>
      <c r="E155" s="50"/>
      <c r="F155" s="51">
        <f>Source!AO58</f>
        <v>97.04</v>
      </c>
      <c r="G155" s="52" t="str">
        <f>Source!DG58</f>
        <v>)*1,2)*1,1</v>
      </c>
      <c r="H155" s="50">
        <f>Source!AV58</f>
        <v>1.0469999999999999</v>
      </c>
      <c r="I155" s="51">
        <f>ROUND((ROUND((Source!AF58*Source!AV58*Source!I58),2)),2)</f>
        <v>16.09</v>
      </c>
      <c r="J155" s="50">
        <f>IF(Source!BA58&lt;&gt; 0, Source!BA58, 1)</f>
        <v>30.48</v>
      </c>
      <c r="K155" s="51">
        <f>Source!S58</f>
        <v>490.42</v>
      </c>
      <c r="W155" s="9">
        <f>I155</f>
        <v>16.09</v>
      </c>
    </row>
    <row r="156" spans="1:35" s="9" customFormat="1" x14ac:dyDescent="0.2">
      <c r="A156" s="48"/>
      <c r="B156" s="48"/>
      <c r="C156" s="48" t="s">
        <v>300</v>
      </c>
      <c r="D156" s="49"/>
      <c r="E156" s="50"/>
      <c r="F156" s="51">
        <f>Source!AM58</f>
        <v>6.68</v>
      </c>
      <c r="G156" s="52" t="str">
        <f>Source!DE58</f>
        <v>)*1,2)*1,1</v>
      </c>
      <c r="H156" s="50">
        <f>Source!AV58</f>
        <v>1.0469999999999999</v>
      </c>
      <c r="I156" s="51">
        <f>(ROUND((ROUND(((((Source!ET58*1.2)*1.1))*Source!AV58*Source!I58),2)),2)+ROUND((ROUND(((Source!AE58-(((Source!EU58*1.2)*1.1)))*Source!AV58*Source!I58),2)),2))</f>
        <v>1.1100000000000001</v>
      </c>
      <c r="J156" s="50">
        <f>IF(Source!BB58&lt;&gt; 0, Source!BB58, 1)</f>
        <v>8.51</v>
      </c>
      <c r="K156" s="51">
        <f>Source!Q58</f>
        <v>9.4499999999999993</v>
      </c>
    </row>
    <row r="157" spans="1:35" s="9" customFormat="1" x14ac:dyDescent="0.2">
      <c r="A157" s="48" t="s">
        <v>131</v>
      </c>
      <c r="B157" s="48" t="str">
        <f>Source!F59</f>
        <v>1.7-3-2</v>
      </c>
      <c r="C157" s="48" t="s">
        <v>133</v>
      </c>
      <c r="D157" s="49" t="str">
        <f>Source!H59</f>
        <v>шт.</v>
      </c>
      <c r="E157" s="50">
        <f>Source!I59</f>
        <v>1.2</v>
      </c>
      <c r="F157" s="51">
        <f>Source!AK59</f>
        <v>378.22</v>
      </c>
      <c r="G157" s="61" t="s">
        <v>3</v>
      </c>
      <c r="H157" s="50">
        <f>Source!AW59</f>
        <v>1.002</v>
      </c>
      <c r="I157" s="51">
        <f>ROUND((ROUND((Source!AC59*Source!AW59*Source!I59),2)),2)+(ROUND((ROUND(((Source!ET59)*Source!AV59*Source!I59),2)),2)+ROUND((ROUND(((Source!AE59-(Source!EU59))*Source!AV59*Source!I59),2)),2))+ROUND((ROUND((Source!AF59*Source!AV59*Source!I59),2)),2)</f>
        <v>454.77</v>
      </c>
      <c r="J157" s="50">
        <f>IF(Source!BC59&lt;&gt; 0, Source!BC59, 1)</f>
        <v>1.78</v>
      </c>
      <c r="K157" s="51">
        <f>Source!O59</f>
        <v>809.49</v>
      </c>
      <c r="Q157" s="9">
        <f>ROUND((Source!DN59/100)*ROUND((ROUND((Source!AF59*Source!AV59*Source!I59),2)),2), 2)</f>
        <v>0</v>
      </c>
      <c r="R157" s="9">
        <f>Source!X59</f>
        <v>0</v>
      </c>
      <c r="S157" s="9">
        <f>ROUND((Source!DO59/100)*ROUND((ROUND((Source!AF59*Source!AV59*Source!I59),2)),2), 2)</f>
        <v>0</v>
      </c>
      <c r="T157" s="9">
        <f>Source!Y59</f>
        <v>0</v>
      </c>
      <c r="U157" s="9">
        <f>ROUND((175/100)*ROUND((ROUND((Source!AE59*Source!AV59*Source!I59),2)),2), 2)</f>
        <v>0</v>
      </c>
      <c r="V157" s="9">
        <f>ROUND((160/100)*ROUND(ROUND((ROUND((Source!AE59*Source!AV59*Source!I59),2)*Source!BS59),2), 2), 2)</f>
        <v>0</v>
      </c>
      <c r="X157" s="9">
        <f>IF(Source!BI59&lt;=1,I157, 0)</f>
        <v>454.77</v>
      </c>
      <c r="Y157" s="9">
        <f>IF(Source!BI59=2,I157, 0)</f>
        <v>0</v>
      </c>
      <c r="Z157" s="9">
        <f>IF(Source!BI59=3,I157, 0)</f>
        <v>0</v>
      </c>
      <c r="AA157" s="9">
        <f>IF(Source!BI59=4,I157, 0)</f>
        <v>0</v>
      </c>
      <c r="AI157" s="9">
        <v>3</v>
      </c>
    </row>
    <row r="158" spans="1:35" s="9" customFormat="1" x14ac:dyDescent="0.2">
      <c r="A158" s="48"/>
      <c r="B158" s="48"/>
      <c r="C158" s="48" t="s">
        <v>302</v>
      </c>
      <c r="D158" s="49" t="s">
        <v>303</v>
      </c>
      <c r="E158" s="50">
        <f>Source!DN58</f>
        <v>91</v>
      </c>
      <c r="F158" s="51"/>
      <c r="G158" s="52"/>
      <c r="H158" s="50"/>
      <c r="I158" s="51">
        <f>SUM(Q153:Q157)</f>
        <v>14.64</v>
      </c>
      <c r="J158" s="50">
        <f>Source!BZ58</f>
        <v>75</v>
      </c>
      <c r="K158" s="51">
        <f>SUM(R153:R157)</f>
        <v>367.82</v>
      </c>
    </row>
    <row r="159" spans="1:35" s="9" customFormat="1" x14ac:dyDescent="0.2">
      <c r="A159" s="48"/>
      <c r="B159" s="48"/>
      <c r="C159" s="48" t="s">
        <v>304</v>
      </c>
      <c r="D159" s="49" t="s">
        <v>303</v>
      </c>
      <c r="E159" s="50">
        <f>Source!DO58</f>
        <v>70</v>
      </c>
      <c r="F159" s="51"/>
      <c r="G159" s="52"/>
      <c r="H159" s="50"/>
      <c r="I159" s="51">
        <f>SUM(S153:S158)</f>
        <v>11.26</v>
      </c>
      <c r="J159" s="50">
        <f>Source!CA58</f>
        <v>41</v>
      </c>
      <c r="K159" s="51">
        <f>SUM(T153:T158)</f>
        <v>201.07</v>
      </c>
    </row>
    <row r="160" spans="1:35" s="9" customFormat="1" x14ac:dyDescent="0.2">
      <c r="A160" s="54"/>
      <c r="B160" s="54"/>
      <c r="C160" s="54" t="s">
        <v>306</v>
      </c>
      <c r="D160" s="55" t="s">
        <v>307</v>
      </c>
      <c r="E160" s="56">
        <f>Source!AQ58</f>
        <v>8.68</v>
      </c>
      <c r="F160" s="57"/>
      <c r="G160" s="58" t="str">
        <f>Source!DI58</f>
        <v>)*1,2)*1,1</v>
      </c>
      <c r="H160" s="56">
        <f>Source!AV58</f>
        <v>1.0469999999999999</v>
      </c>
      <c r="I160" s="57">
        <f>Source!U58</f>
        <v>1.4395328639999998</v>
      </c>
      <c r="J160" s="56"/>
      <c r="K160" s="57"/>
      <c r="AB160" s="42">
        <f>I160</f>
        <v>1.4395328639999998</v>
      </c>
    </row>
    <row r="161" spans="1:35" s="9" customFormat="1" x14ac:dyDescent="0.2">
      <c r="C161" s="59" t="s">
        <v>308</v>
      </c>
      <c r="H161" s="60">
        <f>I155+I156+I158+I159+SUM(I157:I157)</f>
        <v>497.87</v>
      </c>
      <c r="I161" s="60"/>
      <c r="J161" s="60">
        <f>K155+K156+K158+K159+SUM(K157:K157)</f>
        <v>1878.25</v>
      </c>
      <c r="K161" s="60"/>
      <c r="O161" s="42">
        <f>I155+I156+I158+I159+SUM(I157:I157)</f>
        <v>497.87</v>
      </c>
      <c r="P161" s="42">
        <f>K155+K156+K158+K159+SUM(K157:K157)</f>
        <v>1878.25</v>
      </c>
      <c r="X161" s="9">
        <f>IF(Source!BI58&lt;=1,I155+I156+I158+I159-0, 0)</f>
        <v>43.1</v>
      </c>
      <c r="Y161" s="9">
        <f>IF(Source!BI58=2,I155+I156+I158+I159-0, 0)</f>
        <v>0</v>
      </c>
      <c r="Z161" s="9">
        <f>IF(Source!BI58=3,I155+I156+I158+I159-0, 0)</f>
        <v>0</v>
      </c>
      <c r="AA161" s="9">
        <f>IF(Source!BI58=4,I155+I156+I158+I159,0)</f>
        <v>0</v>
      </c>
    </row>
    <row r="162" spans="1:35" s="9" customFormat="1" x14ac:dyDescent="0.2"/>
    <row r="163" spans="1:35" s="9" customFormat="1" x14ac:dyDescent="0.2">
      <c r="A163" s="48">
        <v>21</v>
      </c>
      <c r="B163" s="48" t="str">
        <f>Source!F60</f>
        <v>3.9-72-2</v>
      </c>
      <c r="C163" s="48" t="s">
        <v>137</v>
      </c>
      <c r="D163" s="49" t="str">
        <f>Source!H60</f>
        <v>100 шт.</v>
      </c>
      <c r="E163" s="50">
        <f>Source!I60</f>
        <v>0.12</v>
      </c>
      <c r="F163" s="51"/>
      <c r="G163" s="52"/>
      <c r="H163" s="50"/>
      <c r="I163" s="51"/>
      <c r="J163" s="50"/>
      <c r="K163" s="51"/>
      <c r="Q163" s="9">
        <f>ROUND((Source!DN60/100)*ROUND((ROUND((Source!AF60*Source!AV60*Source!I60),2)),2), 2)</f>
        <v>29.18</v>
      </c>
      <c r="R163" s="9">
        <f>Source!X60</f>
        <v>736.06</v>
      </c>
      <c r="S163" s="9">
        <f>ROUND((Source!DO60/100)*ROUND((ROUND((Source!AF60*Source!AV60*Source!I60),2)),2), 2)</f>
        <v>35.22</v>
      </c>
      <c r="T163" s="9">
        <f>Source!Y60</f>
        <v>521.37</v>
      </c>
      <c r="U163" s="9">
        <f>ROUND((175/100)*ROUND((ROUND((Source!AE60*Source!AV60*Source!I60),2)),2), 2)</f>
        <v>0.02</v>
      </c>
      <c r="V163" s="9">
        <f>ROUND((160/100)*ROUND(ROUND((ROUND((Source!AE60*Source!AV60*Source!I60),2)*Source!BS60),2), 2), 2)</f>
        <v>0.48</v>
      </c>
      <c r="AI163" s="9">
        <v>0</v>
      </c>
    </row>
    <row r="164" spans="1:35" s="9" customFormat="1" x14ac:dyDescent="0.2">
      <c r="C164" s="22" t="str">
        <f>"Объем: "&amp;Source!I60&amp;"=12/"&amp;"100"</f>
        <v>Объем: 0,12=12/100</v>
      </c>
    </row>
    <row r="165" spans="1:35" s="9" customFormat="1" x14ac:dyDescent="0.2">
      <c r="A165" s="48"/>
      <c r="B165" s="48"/>
      <c r="C165" s="48" t="s">
        <v>299</v>
      </c>
      <c r="D165" s="49"/>
      <c r="E165" s="50"/>
      <c r="F165" s="51">
        <f>Source!AO60</f>
        <v>194.79</v>
      </c>
      <c r="G165" s="52" t="str">
        <f>Source!DG60</f>
        <v>)*1,2)*1,1</v>
      </c>
      <c r="H165" s="50">
        <f>Source!AV60</f>
        <v>1.087</v>
      </c>
      <c r="I165" s="51">
        <f>ROUND((ROUND((Source!AF60*Source!AV60*Source!I60),2)),2)</f>
        <v>33.54</v>
      </c>
      <c r="J165" s="50">
        <f>IF(Source!BA60&lt;&gt; 0, Source!BA60, 1)</f>
        <v>30.48</v>
      </c>
      <c r="K165" s="51">
        <f>Source!S60</f>
        <v>1022.3</v>
      </c>
      <c r="W165" s="9">
        <f>I165</f>
        <v>33.54</v>
      </c>
    </row>
    <row r="166" spans="1:35" s="9" customFormat="1" x14ac:dyDescent="0.2">
      <c r="A166" s="48"/>
      <c r="B166" s="48"/>
      <c r="C166" s="48" t="s">
        <v>300</v>
      </c>
      <c r="D166" s="49"/>
      <c r="E166" s="50"/>
      <c r="F166" s="51">
        <f>Source!AM60</f>
        <v>0.3</v>
      </c>
      <c r="G166" s="52" t="str">
        <f>Source!DE60</f>
        <v>)*1,2)*1,1</v>
      </c>
      <c r="H166" s="50">
        <f>Source!AV60</f>
        <v>1.087</v>
      </c>
      <c r="I166" s="51">
        <f>(ROUND((ROUND(((((Source!ET60*1.2)*1.1))*Source!AV60*Source!I60),2)),2)+ROUND((ROUND(((Source!AE60-(((Source!EU60*1.2)*1.1)))*Source!AV60*Source!I60),2)),2))</f>
        <v>0.05</v>
      </c>
      <c r="J166" s="50">
        <f>IF(Source!BB60&lt;&gt; 0, Source!BB60, 1)</f>
        <v>13.5</v>
      </c>
      <c r="K166" s="51">
        <f>Source!Q60</f>
        <v>0.68</v>
      </c>
    </row>
    <row r="167" spans="1:35" s="9" customFormat="1" x14ac:dyDescent="0.2">
      <c r="A167" s="48"/>
      <c r="B167" s="48"/>
      <c r="C167" s="48" t="s">
        <v>301</v>
      </c>
      <c r="D167" s="49"/>
      <c r="E167" s="50"/>
      <c r="F167" s="51">
        <f>Source!AN60</f>
        <v>0.06</v>
      </c>
      <c r="G167" s="52" t="str">
        <f>Source!DF60</f>
        <v>)*1,2)*1,1</v>
      </c>
      <c r="H167" s="50">
        <f>Source!AV60</f>
        <v>1.087</v>
      </c>
      <c r="I167" s="53">
        <f>ROUND((ROUND((Source!AE60*Source!AV60*Source!I60),2)),2)</f>
        <v>0.01</v>
      </c>
      <c r="J167" s="50">
        <f>IF(Source!BS60&lt;&gt; 0, Source!BS60, 1)</f>
        <v>30.48</v>
      </c>
      <c r="K167" s="53">
        <f>Source!R60</f>
        <v>0.3</v>
      </c>
      <c r="W167" s="9">
        <f>I167</f>
        <v>0.01</v>
      </c>
    </row>
    <row r="168" spans="1:35" s="9" customFormat="1" x14ac:dyDescent="0.2">
      <c r="A168" s="48"/>
      <c r="B168" s="48"/>
      <c r="C168" s="48" t="s">
        <v>302</v>
      </c>
      <c r="D168" s="49" t="s">
        <v>303</v>
      </c>
      <c r="E168" s="50">
        <f>Source!DN60</f>
        <v>87</v>
      </c>
      <c r="F168" s="51"/>
      <c r="G168" s="52"/>
      <c r="H168" s="50"/>
      <c r="I168" s="51">
        <f>SUM(Q163:Q167)</f>
        <v>29.18</v>
      </c>
      <c r="J168" s="50">
        <f>Source!BZ60</f>
        <v>72</v>
      </c>
      <c r="K168" s="51">
        <f>SUM(R163:R167)</f>
        <v>736.06</v>
      </c>
    </row>
    <row r="169" spans="1:35" s="9" customFormat="1" x14ac:dyDescent="0.2">
      <c r="A169" s="48"/>
      <c r="B169" s="48"/>
      <c r="C169" s="48" t="s">
        <v>304</v>
      </c>
      <c r="D169" s="49" t="s">
        <v>303</v>
      </c>
      <c r="E169" s="50">
        <f>Source!DO60</f>
        <v>105</v>
      </c>
      <c r="F169" s="51"/>
      <c r="G169" s="52"/>
      <c r="H169" s="50"/>
      <c r="I169" s="51">
        <f>SUM(S163:S168)</f>
        <v>35.22</v>
      </c>
      <c r="J169" s="50">
        <f>Source!CA60</f>
        <v>51</v>
      </c>
      <c r="K169" s="51">
        <f>SUM(T163:T168)</f>
        <v>521.37</v>
      </c>
    </row>
    <row r="170" spans="1:35" s="9" customFormat="1" x14ac:dyDescent="0.2">
      <c r="A170" s="48"/>
      <c r="B170" s="48"/>
      <c r="C170" s="48" t="s">
        <v>305</v>
      </c>
      <c r="D170" s="49" t="s">
        <v>303</v>
      </c>
      <c r="E170" s="50">
        <f>175</f>
        <v>175</v>
      </c>
      <c r="F170" s="51"/>
      <c r="G170" s="52"/>
      <c r="H170" s="50"/>
      <c r="I170" s="51">
        <f>SUM(U163:U169)</f>
        <v>0.02</v>
      </c>
      <c r="J170" s="50">
        <f>160</f>
        <v>160</v>
      </c>
      <c r="K170" s="51">
        <f>SUM(V163:V169)</f>
        <v>0.48</v>
      </c>
    </row>
    <row r="171" spans="1:35" s="9" customFormat="1" x14ac:dyDescent="0.2">
      <c r="A171" s="54"/>
      <c r="B171" s="54"/>
      <c r="C171" s="54" t="s">
        <v>306</v>
      </c>
      <c r="D171" s="55" t="s">
        <v>307</v>
      </c>
      <c r="E171" s="56">
        <f>Source!AQ60</f>
        <v>13.4</v>
      </c>
      <c r="F171" s="57"/>
      <c r="G171" s="58" t="str">
        <f>Source!DI60</f>
        <v>)*1,2)*1,1</v>
      </c>
      <c r="H171" s="56">
        <f>Source!AV60</f>
        <v>1.087</v>
      </c>
      <c r="I171" s="57">
        <f>Source!U60</f>
        <v>2.3072227199999995</v>
      </c>
      <c r="J171" s="56"/>
      <c r="K171" s="57"/>
      <c r="AB171" s="42">
        <f>I171</f>
        <v>2.3072227199999995</v>
      </c>
    </row>
    <row r="172" spans="1:35" s="9" customFormat="1" x14ac:dyDescent="0.2">
      <c r="C172" s="59" t="s">
        <v>308</v>
      </c>
      <c r="H172" s="60">
        <f>I165+I166+I168+I169+I170+0</f>
        <v>98.009999999999991</v>
      </c>
      <c r="I172" s="60"/>
      <c r="J172" s="60">
        <f>K165+K166+K168+K169+K170+0</f>
        <v>2280.89</v>
      </c>
      <c r="K172" s="60"/>
      <c r="O172" s="42">
        <f>I165+I166+I168+I169+I170+0</f>
        <v>98.009999999999991</v>
      </c>
      <c r="P172" s="42">
        <f>K165+K166+K168+K169+K170+0</f>
        <v>2280.89</v>
      </c>
      <c r="X172" s="9">
        <f>IF(Source!BI60&lt;=1,I165+I166+I168+I169+I170-0, 0)</f>
        <v>98.009999999999991</v>
      </c>
      <c r="Y172" s="9">
        <f>IF(Source!BI60=2,I165+I166+I168+I169+I170-0, 0)</f>
        <v>0</v>
      </c>
      <c r="Z172" s="9">
        <f>IF(Source!BI60=3,I165+I166+I168+I169+I170-0, 0)</f>
        <v>0</v>
      </c>
      <c r="AA172" s="9">
        <f>IF(Source!BI60=4,I165+I166+I168+I169+I170,0)</f>
        <v>0</v>
      </c>
    </row>
    <row r="173" spans="1:35" s="9" customFormat="1" x14ac:dyDescent="0.2"/>
    <row r="174" spans="1:35" s="9" customFormat="1" x14ac:dyDescent="0.2"/>
    <row r="175" spans="1:35" s="9" customFormat="1" x14ac:dyDescent="0.2">
      <c r="A175" s="62" t="str">
        <f>CONCATENATE("Итого по подразделу: ",IF(Source!G62&lt;&gt;"Новый подраздел", Source!G62, ""))</f>
        <v>Итого по подразделу: Строительные работы</v>
      </c>
      <c r="B175" s="62"/>
      <c r="C175" s="62"/>
      <c r="D175" s="62"/>
      <c r="E175" s="62"/>
      <c r="F175" s="62"/>
      <c r="G175" s="62"/>
      <c r="H175" s="63">
        <f>SUM(O35:O174)</f>
        <v>7000.46</v>
      </c>
      <c r="I175" s="64"/>
      <c r="J175" s="63">
        <f>SUM(P35:P174)</f>
        <v>69880.829999999987</v>
      </c>
      <c r="K175" s="64"/>
    </row>
    <row r="176" spans="1:35" s="9" customFormat="1" hidden="1" x14ac:dyDescent="0.2">
      <c r="A176" s="9" t="s">
        <v>310</v>
      </c>
      <c r="H176" s="9">
        <f>SUM(AC35:AC175)</f>
        <v>0</v>
      </c>
      <c r="J176" s="9">
        <f>SUM(AD35:AD175)</f>
        <v>0</v>
      </c>
    </row>
    <row r="177" spans="1:35" s="9" customFormat="1" hidden="1" x14ac:dyDescent="0.2">
      <c r="A177" s="9" t="s">
        <v>311</v>
      </c>
      <c r="H177" s="9">
        <f>SUM(AE35:AE176)</f>
        <v>0</v>
      </c>
      <c r="J177" s="9">
        <f>SUM(AF35:AF176)</f>
        <v>0</v>
      </c>
    </row>
    <row r="178" spans="1:35" s="9" customFormat="1" x14ac:dyDescent="0.2"/>
    <row r="179" spans="1:35" s="9" customFormat="1" x14ac:dyDescent="0.2">
      <c r="A179" s="47" t="str">
        <f>CONCATENATE("Подраздел: ",IF(Source!G92&lt;&gt;"Новый подраздел", Source!G92, ""))</f>
        <v>Подраздел: Монтажные работы</v>
      </c>
      <c r="B179" s="47"/>
      <c r="C179" s="47"/>
      <c r="D179" s="47"/>
      <c r="E179" s="47"/>
      <c r="F179" s="47"/>
      <c r="G179" s="47"/>
      <c r="H179" s="47"/>
      <c r="I179" s="47"/>
      <c r="J179" s="47"/>
      <c r="K179" s="47"/>
    </row>
    <row r="180" spans="1:35" s="9" customFormat="1" ht="25.5" x14ac:dyDescent="0.2">
      <c r="A180" s="48">
        <v>22</v>
      </c>
      <c r="B180" s="48" t="str">
        <f>Source!F96</f>
        <v>16.1-4811-4</v>
      </c>
      <c r="C180" s="48" t="s">
        <v>199</v>
      </c>
      <c r="D180" s="49" t="str">
        <f>Source!H96</f>
        <v>1 КМ</v>
      </c>
      <c r="E180" s="50">
        <f>Source!I96</f>
        <v>1</v>
      </c>
      <c r="F180" s="51"/>
      <c r="G180" s="52"/>
      <c r="H180" s="50"/>
      <c r="I180" s="51"/>
      <c r="J180" s="50"/>
      <c r="K180" s="51"/>
      <c r="Q180" s="9">
        <f>ROUND((Source!DN96/100)*ROUND((ROUND((Source!AF96*Source!AV96*Source!I96),2)),2), 2)</f>
        <v>0</v>
      </c>
      <c r="R180" s="9">
        <f>Source!X96</f>
        <v>0</v>
      </c>
      <c r="S180" s="9">
        <f>ROUND((Source!DO96/100)*ROUND((ROUND((Source!AF96*Source!AV96*Source!I96),2)),2), 2)</f>
        <v>0</v>
      </c>
      <c r="T180" s="9">
        <f>Source!Y96</f>
        <v>0</v>
      </c>
      <c r="U180" s="9">
        <f>ROUND((175/100)*ROUND((ROUND((Source!AE96*Source!AV96*Source!I96),2)),2), 2)</f>
        <v>0</v>
      </c>
      <c r="V180" s="9">
        <f>ROUND((160/100)*ROUND(ROUND((ROUND((Source!AE96*Source!AV96*Source!I96),2)*Source!BS96),2), 2), 2)</f>
        <v>0</v>
      </c>
      <c r="AI180" s="9">
        <v>0</v>
      </c>
    </row>
    <row r="181" spans="1:35" s="9" customFormat="1" x14ac:dyDescent="0.2">
      <c r="C181" s="22" t="str">
        <f>"Объем: "&amp;Source!I96&amp;"=1000/"&amp;"1000"</f>
        <v>Объем: 1=1000/1000</v>
      </c>
    </row>
    <row r="182" spans="1:35" s="9" customFormat="1" x14ac:dyDescent="0.2">
      <c r="A182" s="48"/>
      <c r="B182" s="48"/>
      <c r="C182" s="48" t="s">
        <v>312</v>
      </c>
      <c r="D182" s="49"/>
      <c r="E182" s="50"/>
      <c r="F182" s="51"/>
      <c r="G182" s="52"/>
      <c r="H182" s="50"/>
      <c r="I182" s="51">
        <f>I183+I184+I185+0</f>
        <v>48866.2</v>
      </c>
      <c r="J182" s="50"/>
      <c r="K182" s="51">
        <f>K183+K184+K185+0</f>
        <v>440170.72</v>
      </c>
    </row>
    <row r="183" spans="1:35" s="9" customFormat="1" x14ac:dyDescent="0.2">
      <c r="A183" s="48"/>
      <c r="B183" s="48"/>
      <c r="C183" s="48" t="s">
        <v>313</v>
      </c>
      <c r="D183" s="49"/>
      <c r="E183" s="50"/>
      <c r="F183" s="51">
        <f>Source!AO96</f>
        <v>6726</v>
      </c>
      <c r="G183" s="52" t="str">
        <f>Source!DG96</f>
        <v>)*1,2</v>
      </c>
      <c r="H183" s="50">
        <f>Source!AV96</f>
        <v>1</v>
      </c>
      <c r="I183" s="51">
        <f>ROUND((ROUND((Source!AF96*Source!AV96*Source!I96),2)),2)</f>
        <v>8071.2</v>
      </c>
      <c r="J183" s="50">
        <f>IF(Source!BA96&lt;&gt; 0, Source!BA96, 1)</f>
        <v>26.06</v>
      </c>
      <c r="K183" s="51">
        <f>Source!GZ96</f>
        <v>210335.47</v>
      </c>
    </row>
    <row r="184" spans="1:35" s="9" customFormat="1" x14ac:dyDescent="0.2">
      <c r="A184" s="48"/>
      <c r="B184" s="48"/>
      <c r="C184" s="48" t="s">
        <v>314</v>
      </c>
      <c r="D184" s="49"/>
      <c r="E184" s="50"/>
      <c r="F184" s="51">
        <f>Source!AM96</f>
        <v>5050</v>
      </c>
      <c r="G184" s="52" t="str">
        <f>Source!DE96</f>
        <v>)*1,2</v>
      </c>
      <c r="H184" s="50">
        <f>Source!AV96</f>
        <v>1</v>
      </c>
      <c r="I184" s="51">
        <f>(ROUND((ROUND((((Source!ET96*1.2))*Source!AV96*Source!I96),2)),2)+ROUND((ROUND(((Source!AE96-((Source!EU96*1.2)))*Source!AV96*Source!I96),2)),2))</f>
        <v>6060</v>
      </c>
      <c r="J184" s="50">
        <f>IF(Source!BB96&lt;&gt; 0, Source!BB96, 1)</f>
        <v>17.12</v>
      </c>
      <c r="K184" s="51">
        <f>Source!GY96</f>
        <v>103747.2</v>
      </c>
    </row>
    <row r="185" spans="1:35" s="9" customFormat="1" x14ac:dyDescent="0.2">
      <c r="A185" s="54"/>
      <c r="B185" s="54"/>
      <c r="C185" s="54" t="s">
        <v>309</v>
      </c>
      <c r="D185" s="55"/>
      <c r="E185" s="56"/>
      <c r="F185" s="57">
        <f>Source!AL96</f>
        <v>34735</v>
      </c>
      <c r="G185" s="58" t="str">
        <f>Source!DD96</f>
        <v>)*1</v>
      </c>
      <c r="H185" s="56">
        <f>Source!AW96</f>
        <v>1</v>
      </c>
      <c r="I185" s="57">
        <f>ROUND((ROUND((Source!AC96*Source!AW96*Source!I96),2)),2)</f>
        <v>34735</v>
      </c>
      <c r="J185" s="56">
        <f>IF(Source!BC96&lt;&gt; 0, Source!BC96, 1)</f>
        <v>3.63</v>
      </c>
      <c r="K185" s="57">
        <f>Source!P96</f>
        <v>126088.05</v>
      </c>
    </row>
    <row r="186" spans="1:35" s="9" customFormat="1" x14ac:dyDescent="0.2">
      <c r="C186" s="59" t="s">
        <v>308</v>
      </c>
      <c r="H186" s="60">
        <f>I183+I184+I185+0</f>
        <v>48866.2</v>
      </c>
      <c r="I186" s="60"/>
      <c r="J186" s="60">
        <f>K183+K184+K185+0</f>
        <v>440170.72</v>
      </c>
      <c r="K186" s="60"/>
      <c r="O186" s="42">
        <f>I183+I184+I185+0</f>
        <v>48866.2</v>
      </c>
      <c r="P186" s="42">
        <f>K183+K184+K185+0</f>
        <v>440170.72</v>
      </c>
      <c r="X186" s="9">
        <f>IF(Source!BI96&lt;=1,I183+I184+I185-0, 0)</f>
        <v>0</v>
      </c>
      <c r="Y186" s="9">
        <f>IF(Source!BI96=2,I183+I184+I185-0, 0)</f>
        <v>48866.2</v>
      </c>
      <c r="Z186" s="9">
        <f>IF(Source!BI96=3,I183+I184+I185-0, 0)</f>
        <v>0</v>
      </c>
      <c r="AA186" s="9">
        <f>IF(Source!BI96=4,I183+I184+I185,0)</f>
        <v>0</v>
      </c>
      <c r="AC186" s="42">
        <f>I183+I184+I185+0</f>
        <v>48866.2</v>
      </c>
      <c r="AD186" s="42">
        <f>K183+K184+K185+0</f>
        <v>440170.72</v>
      </c>
    </row>
    <row r="187" spans="1:35" s="9" customFormat="1" x14ac:dyDescent="0.2"/>
    <row r="188" spans="1:35" s="9" customFormat="1" ht="25.5" x14ac:dyDescent="0.2">
      <c r="A188" s="48">
        <v>23</v>
      </c>
      <c r="B188" s="48" t="str">
        <f>Source!F98</f>
        <v>16.1-4811-4</v>
      </c>
      <c r="C188" s="48" t="s">
        <v>216</v>
      </c>
      <c r="D188" s="49" t="str">
        <f>Source!H98</f>
        <v>1 КМ</v>
      </c>
      <c r="E188" s="50">
        <f>Source!I98</f>
        <v>1.19</v>
      </c>
      <c r="F188" s="51"/>
      <c r="G188" s="52"/>
      <c r="H188" s="50"/>
      <c r="I188" s="51"/>
      <c r="J188" s="50"/>
      <c r="K188" s="51"/>
      <c r="Q188" s="9">
        <f>ROUND((Source!DN98/100)*ROUND((ROUND((Source!AF98*Source!AV98*Source!I98),2)),2), 2)</f>
        <v>0</v>
      </c>
      <c r="R188" s="9">
        <f>Source!X98</f>
        <v>0</v>
      </c>
      <c r="S188" s="9">
        <f>ROUND((Source!DO98/100)*ROUND((ROUND((Source!AF98*Source!AV98*Source!I98),2)),2), 2)</f>
        <v>0</v>
      </c>
      <c r="T188" s="9">
        <f>Source!Y98</f>
        <v>0</v>
      </c>
      <c r="U188" s="9">
        <f>ROUND((175/100)*ROUND((ROUND((Source!AE98*Source!AV98*Source!I98),2)),2), 2)</f>
        <v>0</v>
      </c>
      <c r="V188" s="9">
        <f>ROUND((160/100)*ROUND(ROUND((ROUND((Source!AE98*Source!AV98*Source!I98),2)*Source!BS98),2), 2), 2)</f>
        <v>0</v>
      </c>
      <c r="AI188" s="9">
        <v>0</v>
      </c>
    </row>
    <row r="189" spans="1:35" s="9" customFormat="1" x14ac:dyDescent="0.2">
      <c r="C189" s="22" t="str">
        <f>"Объем: "&amp;Source!I98&amp;"=1190/"&amp;"1000"</f>
        <v>Объем: 1,19=1190/1000</v>
      </c>
    </row>
    <row r="190" spans="1:35" s="9" customFormat="1" x14ac:dyDescent="0.2">
      <c r="A190" s="48"/>
      <c r="B190" s="48"/>
      <c r="C190" s="48" t="s">
        <v>312</v>
      </c>
      <c r="D190" s="49"/>
      <c r="E190" s="50"/>
      <c r="F190" s="51"/>
      <c r="G190" s="52"/>
      <c r="H190" s="50"/>
      <c r="I190" s="51">
        <f>I191+I192+I193+0</f>
        <v>58150.78</v>
      </c>
      <c r="J190" s="50"/>
      <c r="K190" s="51">
        <f>K191+K192+K193+0</f>
        <v>523803.20999999996</v>
      </c>
    </row>
    <row r="191" spans="1:35" s="9" customFormat="1" x14ac:dyDescent="0.2">
      <c r="A191" s="48"/>
      <c r="B191" s="48"/>
      <c r="C191" s="48" t="s">
        <v>313</v>
      </c>
      <c r="D191" s="49"/>
      <c r="E191" s="50"/>
      <c r="F191" s="51">
        <f>Source!AO98</f>
        <v>6726</v>
      </c>
      <c r="G191" s="52" t="str">
        <f>Source!DG98</f>
        <v>)*1,2</v>
      </c>
      <c r="H191" s="50">
        <f>Source!AV98</f>
        <v>1</v>
      </c>
      <c r="I191" s="51">
        <f>ROUND((ROUND((Source!AF98*Source!AV98*Source!I98),2)),2)</f>
        <v>9604.73</v>
      </c>
      <c r="J191" s="50">
        <f>IF(Source!BA98&lt;&gt; 0, Source!BA98, 1)</f>
        <v>26.06</v>
      </c>
      <c r="K191" s="51">
        <f>Source!GZ98</f>
        <v>250299.26</v>
      </c>
    </row>
    <row r="192" spans="1:35" s="9" customFormat="1" x14ac:dyDescent="0.2">
      <c r="A192" s="48"/>
      <c r="B192" s="48"/>
      <c r="C192" s="48" t="s">
        <v>314</v>
      </c>
      <c r="D192" s="49"/>
      <c r="E192" s="50"/>
      <c r="F192" s="51">
        <f>Source!AM98</f>
        <v>5050</v>
      </c>
      <c r="G192" s="52" t="str">
        <f>Source!DE98</f>
        <v>)*1,2</v>
      </c>
      <c r="H192" s="50">
        <f>Source!AV98</f>
        <v>1</v>
      </c>
      <c r="I192" s="51">
        <f>(ROUND((ROUND((((Source!ET98*1.2))*Source!AV98*Source!I98),2)),2)+ROUND((ROUND(((Source!AE98-((Source!EU98*1.2)))*Source!AV98*Source!I98),2)),2))</f>
        <v>7211.4</v>
      </c>
      <c r="J192" s="50">
        <f>IF(Source!BB98&lt;&gt; 0, Source!BB98, 1)</f>
        <v>17.12</v>
      </c>
      <c r="K192" s="51">
        <f>Source!GY98</f>
        <v>123459.17</v>
      </c>
    </row>
    <row r="193" spans="1:35" s="9" customFormat="1" x14ac:dyDescent="0.2">
      <c r="A193" s="54"/>
      <c r="B193" s="54"/>
      <c r="C193" s="54" t="s">
        <v>309</v>
      </c>
      <c r="D193" s="55"/>
      <c r="E193" s="56"/>
      <c r="F193" s="57">
        <f>Source!AL98</f>
        <v>34735</v>
      </c>
      <c r="G193" s="58" t="str">
        <f>Source!DD98</f>
        <v>)*1</v>
      </c>
      <c r="H193" s="56">
        <f>Source!AW98</f>
        <v>1</v>
      </c>
      <c r="I193" s="57">
        <f>ROUND((ROUND((Source!AC98*Source!AW98*Source!I98),2)),2)</f>
        <v>41334.65</v>
      </c>
      <c r="J193" s="56">
        <f>IF(Source!BC98&lt;&gt; 0, Source!BC98, 1)</f>
        <v>3.63</v>
      </c>
      <c r="K193" s="57">
        <f>Source!P98</f>
        <v>150044.78</v>
      </c>
    </row>
    <row r="194" spans="1:35" s="9" customFormat="1" x14ac:dyDescent="0.2">
      <c r="C194" s="59" t="s">
        <v>308</v>
      </c>
      <c r="H194" s="60">
        <f>I191+I192+I193+0</f>
        <v>58150.78</v>
      </c>
      <c r="I194" s="60"/>
      <c r="J194" s="60">
        <f>K191+K192+K193+0</f>
        <v>523803.20999999996</v>
      </c>
      <c r="K194" s="60"/>
      <c r="O194" s="42">
        <f>I191+I192+I193+0</f>
        <v>58150.78</v>
      </c>
      <c r="P194" s="42">
        <f>K191+K192+K193+0</f>
        <v>523803.20999999996</v>
      </c>
      <c r="X194" s="9">
        <f>IF(Source!BI98&lt;=1,I191+I192+I193-0, 0)</f>
        <v>0</v>
      </c>
      <c r="Y194" s="9">
        <f>IF(Source!BI98=2,I191+I192+I193-0, 0)</f>
        <v>58150.78</v>
      </c>
      <c r="Z194" s="9">
        <f>IF(Source!BI98=3,I191+I192+I193-0, 0)</f>
        <v>0</v>
      </c>
      <c r="AA194" s="9">
        <f>IF(Source!BI98=4,I191+I192+I193,0)</f>
        <v>0</v>
      </c>
      <c r="AC194" s="42">
        <f>I191+I192+I193+0</f>
        <v>58150.78</v>
      </c>
      <c r="AD194" s="42">
        <f>K191+K192+K193+0</f>
        <v>523803.20999999996</v>
      </c>
    </row>
    <row r="195" spans="1:35" s="9" customFormat="1" x14ac:dyDescent="0.2"/>
    <row r="196" spans="1:35" s="9" customFormat="1" ht="25.5" x14ac:dyDescent="0.2">
      <c r="A196" s="48">
        <v>24</v>
      </c>
      <c r="B196" s="48" t="str">
        <f>Source!F100</f>
        <v>16.1-4811-4</v>
      </c>
      <c r="C196" s="48" t="s">
        <v>218</v>
      </c>
      <c r="D196" s="49" t="str">
        <f>Source!H100</f>
        <v>1 КМ</v>
      </c>
      <c r="E196" s="50">
        <f>Source!I100</f>
        <v>0.14000000000000001</v>
      </c>
      <c r="F196" s="51"/>
      <c r="G196" s="52"/>
      <c r="H196" s="50"/>
      <c r="I196" s="51"/>
      <c r="J196" s="50"/>
      <c r="K196" s="51"/>
      <c r="Q196" s="9">
        <f>ROUND((Source!DN100/100)*ROUND((ROUND((Source!AF100*Source!AV100*Source!I100),2)),2), 2)</f>
        <v>0</v>
      </c>
      <c r="R196" s="9">
        <f>Source!X100</f>
        <v>0</v>
      </c>
      <c r="S196" s="9">
        <f>ROUND((Source!DO100/100)*ROUND((ROUND((Source!AF100*Source!AV100*Source!I100),2)),2), 2)</f>
        <v>0</v>
      </c>
      <c r="T196" s="9">
        <f>Source!Y100</f>
        <v>0</v>
      </c>
      <c r="U196" s="9">
        <f>ROUND((175/100)*ROUND((ROUND((Source!AE100*Source!AV100*Source!I100),2)),2), 2)</f>
        <v>0</v>
      </c>
      <c r="V196" s="9">
        <f>ROUND((160/100)*ROUND(ROUND((ROUND((Source!AE100*Source!AV100*Source!I100),2)*Source!BS100),2), 2), 2)</f>
        <v>0</v>
      </c>
      <c r="AI196" s="9">
        <v>0</v>
      </c>
    </row>
    <row r="197" spans="1:35" s="9" customFormat="1" x14ac:dyDescent="0.2">
      <c r="C197" s="22" t="str">
        <f>"Объем: "&amp;Source!I100&amp;"=140/"&amp;"1000"</f>
        <v>Объем: 0,14=140/1000</v>
      </c>
    </row>
    <row r="198" spans="1:35" s="9" customFormat="1" x14ac:dyDescent="0.2">
      <c r="A198" s="48"/>
      <c r="B198" s="48"/>
      <c r="C198" s="48" t="s">
        <v>312</v>
      </c>
      <c r="D198" s="49"/>
      <c r="E198" s="50"/>
      <c r="F198" s="51"/>
      <c r="G198" s="52"/>
      <c r="H198" s="50"/>
      <c r="I198" s="51">
        <f>I199+I200+I201+0</f>
        <v>6841.2699999999995</v>
      </c>
      <c r="J198" s="50"/>
      <c r="K198" s="51">
        <f>K199+K200+K201+0</f>
        <v>61623.960000000006</v>
      </c>
    </row>
    <row r="199" spans="1:35" s="9" customFormat="1" x14ac:dyDescent="0.2">
      <c r="A199" s="48"/>
      <c r="B199" s="48"/>
      <c r="C199" s="48" t="s">
        <v>313</v>
      </c>
      <c r="D199" s="49"/>
      <c r="E199" s="50"/>
      <c r="F199" s="51">
        <f>Source!AO100</f>
        <v>6726</v>
      </c>
      <c r="G199" s="52" t="str">
        <f>Source!DG100</f>
        <v>)*1,2</v>
      </c>
      <c r="H199" s="50">
        <f>Source!AV100</f>
        <v>1</v>
      </c>
      <c r="I199" s="51">
        <f>ROUND((ROUND((Source!AF100*Source!AV100*Source!I100),2)),2)</f>
        <v>1129.97</v>
      </c>
      <c r="J199" s="50">
        <f>IF(Source!BA100&lt;&gt; 0, Source!BA100, 1)</f>
        <v>26.06</v>
      </c>
      <c r="K199" s="51">
        <f>Source!GZ100</f>
        <v>29447.02</v>
      </c>
    </row>
    <row r="200" spans="1:35" s="9" customFormat="1" x14ac:dyDescent="0.2">
      <c r="A200" s="48"/>
      <c r="B200" s="48"/>
      <c r="C200" s="48" t="s">
        <v>314</v>
      </c>
      <c r="D200" s="49"/>
      <c r="E200" s="50"/>
      <c r="F200" s="51">
        <f>Source!AM100</f>
        <v>5050</v>
      </c>
      <c r="G200" s="52" t="str">
        <f>Source!DE100</f>
        <v>)*1,2</v>
      </c>
      <c r="H200" s="50">
        <f>Source!AV100</f>
        <v>1</v>
      </c>
      <c r="I200" s="51">
        <f>(ROUND((ROUND((((Source!ET100*1.2))*Source!AV100*Source!I100),2)),2)+ROUND((ROUND(((Source!AE100-((Source!EU100*1.2)))*Source!AV100*Source!I100),2)),2))</f>
        <v>848.4</v>
      </c>
      <c r="J200" s="50">
        <f>IF(Source!BB100&lt;&gt; 0, Source!BB100, 1)</f>
        <v>17.12</v>
      </c>
      <c r="K200" s="51">
        <f>Source!GY100</f>
        <v>14524.61</v>
      </c>
    </row>
    <row r="201" spans="1:35" s="9" customFormat="1" x14ac:dyDescent="0.2">
      <c r="A201" s="54"/>
      <c r="B201" s="54"/>
      <c r="C201" s="54" t="s">
        <v>309</v>
      </c>
      <c r="D201" s="55"/>
      <c r="E201" s="56"/>
      <c r="F201" s="57">
        <f>Source!AL100</f>
        <v>34735</v>
      </c>
      <c r="G201" s="58" t="str">
        <f>Source!DD100</f>
        <v>)*1</v>
      </c>
      <c r="H201" s="56">
        <f>Source!AW100</f>
        <v>1</v>
      </c>
      <c r="I201" s="57">
        <f>ROUND((ROUND((Source!AC100*Source!AW100*Source!I100),2)),2)</f>
        <v>4862.8999999999996</v>
      </c>
      <c r="J201" s="56">
        <f>IF(Source!BC100&lt;&gt; 0, Source!BC100, 1)</f>
        <v>3.63</v>
      </c>
      <c r="K201" s="57">
        <f>Source!P100</f>
        <v>17652.330000000002</v>
      </c>
    </row>
    <row r="202" spans="1:35" s="9" customFormat="1" x14ac:dyDescent="0.2">
      <c r="C202" s="59" t="s">
        <v>308</v>
      </c>
      <c r="H202" s="60">
        <f>I199+I200+I201+0</f>
        <v>6841.2699999999995</v>
      </c>
      <c r="I202" s="60"/>
      <c r="J202" s="60">
        <f>K199+K200+K201+0</f>
        <v>61623.960000000006</v>
      </c>
      <c r="K202" s="60"/>
      <c r="O202" s="42">
        <f>I199+I200+I201+0</f>
        <v>6841.2699999999995</v>
      </c>
      <c r="P202" s="42">
        <f>K199+K200+K201+0</f>
        <v>61623.960000000006</v>
      </c>
      <c r="X202" s="9">
        <f>IF(Source!BI100&lt;=1,I199+I200+I201-0, 0)</f>
        <v>0</v>
      </c>
      <c r="Y202" s="9">
        <f>IF(Source!BI100=2,I199+I200+I201-0, 0)</f>
        <v>6841.2699999999995</v>
      </c>
      <c r="Z202" s="9">
        <f>IF(Source!BI100=3,I199+I200+I201-0, 0)</f>
        <v>0</v>
      </c>
      <c r="AA202" s="9">
        <f>IF(Source!BI100=4,I199+I200+I201,0)</f>
        <v>0</v>
      </c>
      <c r="AC202" s="42">
        <f>I199+I200+I201+0</f>
        <v>6841.2699999999995</v>
      </c>
      <c r="AD202" s="42">
        <f>K199+K200+K201+0</f>
        <v>61623.960000000006</v>
      </c>
    </row>
    <row r="203" spans="1:35" s="9" customFormat="1" x14ac:dyDescent="0.2"/>
    <row r="204" spans="1:35" s="9" customFormat="1" ht="38.25" x14ac:dyDescent="0.2">
      <c r="A204" s="48">
        <v>25</v>
      </c>
      <c r="B204" s="48" t="str">
        <f>Source!F102</f>
        <v>4.10-181-1</v>
      </c>
      <c r="C204" s="48" t="s">
        <v>221</v>
      </c>
      <c r="D204" s="49" t="str">
        <f>Source!H102</f>
        <v>1 кросс</v>
      </c>
      <c r="E204" s="50">
        <f>Source!I102</f>
        <v>4</v>
      </c>
      <c r="F204" s="51"/>
      <c r="G204" s="52"/>
      <c r="H204" s="50"/>
      <c r="I204" s="51"/>
      <c r="J204" s="50"/>
      <c r="K204" s="51"/>
      <c r="Q204" s="9">
        <f>ROUND((Source!DN102/100)*ROUND((ROUND((Source!AF102*Source!AV102*Source!I102),2)),2), 2)</f>
        <v>1498.46</v>
      </c>
      <c r="R204" s="9">
        <f>Source!X102</f>
        <v>37517.14</v>
      </c>
      <c r="S204" s="9">
        <f>ROUND((Source!DO102/100)*ROUND((ROUND((Source!AF102*Source!AV102*Source!I102),2)),2), 2)</f>
        <v>936.54</v>
      </c>
      <c r="T204" s="9">
        <f>Source!Y102</f>
        <v>16719.599999999999</v>
      </c>
      <c r="U204" s="9">
        <f>ROUND((175/100)*ROUND((ROUND((Source!AE102*Source!AV102*Source!I102),2)),2), 2)</f>
        <v>0.11</v>
      </c>
      <c r="V204" s="9">
        <f>ROUND((160/100)*ROUND(ROUND((ROUND((Source!AE102*Source!AV102*Source!I102),2)*Source!BS102),2), 2), 2)</f>
        <v>2.93</v>
      </c>
      <c r="AI204" s="9">
        <v>0</v>
      </c>
    </row>
    <row r="205" spans="1:35" s="9" customFormat="1" x14ac:dyDescent="0.2">
      <c r="A205" s="48"/>
      <c r="B205" s="48"/>
      <c r="C205" s="48" t="s">
        <v>299</v>
      </c>
      <c r="D205" s="49"/>
      <c r="E205" s="50"/>
      <c r="F205" s="51">
        <f>Source!AO102</f>
        <v>237.48</v>
      </c>
      <c r="G205" s="52" t="str">
        <f>Source!DG102</f>
        <v>)*1,2)*1,1</v>
      </c>
      <c r="H205" s="50">
        <f>Source!AV102</f>
        <v>1.0669999999999999</v>
      </c>
      <c r="I205" s="51">
        <f>ROUND((ROUND((Source!AF102*Source!AV102*Source!I102),2)),2)</f>
        <v>1337.91</v>
      </c>
      <c r="J205" s="50">
        <f>IF(Source!BA102&lt;&gt; 0, Source!BA102, 1)</f>
        <v>30.48</v>
      </c>
      <c r="K205" s="51">
        <f>Source!S102</f>
        <v>40779.5</v>
      </c>
      <c r="W205" s="9">
        <f>I205</f>
        <v>1337.91</v>
      </c>
    </row>
    <row r="206" spans="1:35" s="9" customFormat="1" x14ac:dyDescent="0.2">
      <c r="A206" s="48"/>
      <c r="B206" s="48"/>
      <c r="C206" s="48" t="s">
        <v>300</v>
      </c>
      <c r="D206" s="49"/>
      <c r="E206" s="50"/>
      <c r="F206" s="51">
        <f>Source!AM102</f>
        <v>23.67</v>
      </c>
      <c r="G206" s="52" t="str">
        <f>Source!DE102</f>
        <v>)*1,2)*1,1</v>
      </c>
      <c r="H206" s="50">
        <f>Source!AV102</f>
        <v>1.0669999999999999</v>
      </c>
      <c r="I206" s="51">
        <f>(ROUND((ROUND(((((Source!ET102*1.2)*1.1))*Source!AV102*Source!I102),2)),2)+ROUND((ROUND(((Source!AE102-(((Source!EU102*1.2)*1.1)))*Source!AV102*Source!I102),2)),2))</f>
        <v>133.35</v>
      </c>
      <c r="J206" s="50">
        <f>IF(Source!BB102&lt;&gt; 0, Source!BB102, 1)</f>
        <v>8.39</v>
      </c>
      <c r="K206" s="51">
        <f>Source!Q102</f>
        <v>1118.81</v>
      </c>
    </row>
    <row r="207" spans="1:35" s="9" customFormat="1" x14ac:dyDescent="0.2">
      <c r="A207" s="48"/>
      <c r="B207" s="48"/>
      <c r="C207" s="48" t="s">
        <v>301</v>
      </c>
      <c r="D207" s="49"/>
      <c r="E207" s="50"/>
      <c r="F207" s="51">
        <f>Source!AN102</f>
        <v>0.01</v>
      </c>
      <c r="G207" s="52" t="str">
        <f>Source!DF102</f>
        <v>)*1,2)*1,1</v>
      </c>
      <c r="H207" s="50">
        <f>Source!AV102</f>
        <v>1.0669999999999999</v>
      </c>
      <c r="I207" s="53">
        <f>ROUND((ROUND((Source!AE102*Source!AV102*Source!I102),2)),2)</f>
        <v>0.06</v>
      </c>
      <c r="J207" s="50">
        <f>IF(Source!BS102&lt;&gt; 0, Source!BS102, 1)</f>
        <v>30.48</v>
      </c>
      <c r="K207" s="53">
        <f>Source!R102</f>
        <v>1.83</v>
      </c>
      <c r="W207" s="9">
        <f>I207</f>
        <v>0.06</v>
      </c>
    </row>
    <row r="208" spans="1:35" s="9" customFormat="1" x14ac:dyDescent="0.2">
      <c r="A208" s="48"/>
      <c r="B208" s="48"/>
      <c r="C208" s="48" t="s">
        <v>309</v>
      </c>
      <c r="D208" s="49"/>
      <c r="E208" s="50"/>
      <c r="F208" s="51">
        <f>Source!AL102</f>
        <v>5.69</v>
      </c>
      <c r="G208" s="52" t="str">
        <f>Source!DD102</f>
        <v>)*1)*1</v>
      </c>
      <c r="H208" s="50">
        <f>Source!AW102</f>
        <v>1.081</v>
      </c>
      <c r="I208" s="51">
        <f>ROUND((ROUND((Source!AC102*Source!AW102*Source!I102),2)),2)</f>
        <v>24.6</v>
      </c>
      <c r="J208" s="50">
        <f>IF(Source!BC102&lt;&gt; 0, Source!BC102, 1)</f>
        <v>13.96</v>
      </c>
      <c r="K208" s="51">
        <f>Source!P102</f>
        <v>343.42</v>
      </c>
    </row>
    <row r="209" spans="1:35" s="9" customFormat="1" x14ac:dyDescent="0.2">
      <c r="A209" s="48"/>
      <c r="B209" s="48"/>
      <c r="C209" s="48" t="s">
        <v>302</v>
      </c>
      <c r="D209" s="49" t="s">
        <v>303</v>
      </c>
      <c r="E209" s="50">
        <f>Source!DN102</f>
        <v>112</v>
      </c>
      <c r="F209" s="51"/>
      <c r="G209" s="52"/>
      <c r="H209" s="50"/>
      <c r="I209" s="51">
        <f>SUM(Q204:Q208)</f>
        <v>1498.46</v>
      </c>
      <c r="J209" s="50">
        <f>Source!BZ102</f>
        <v>92</v>
      </c>
      <c r="K209" s="51">
        <f>SUM(R204:R208)</f>
        <v>37517.14</v>
      </c>
    </row>
    <row r="210" spans="1:35" s="9" customFormat="1" x14ac:dyDescent="0.2">
      <c r="A210" s="48"/>
      <c r="B210" s="48"/>
      <c r="C210" s="48" t="s">
        <v>304</v>
      </c>
      <c r="D210" s="49" t="s">
        <v>303</v>
      </c>
      <c r="E210" s="50">
        <f>Source!DO102</f>
        <v>70</v>
      </c>
      <c r="F210" s="51"/>
      <c r="G210" s="52"/>
      <c r="H210" s="50"/>
      <c r="I210" s="51">
        <f>SUM(S204:S209)</f>
        <v>936.54</v>
      </c>
      <c r="J210" s="50">
        <f>Source!CA102</f>
        <v>41</v>
      </c>
      <c r="K210" s="51">
        <f>SUM(T204:T209)</f>
        <v>16719.599999999999</v>
      </c>
    </row>
    <row r="211" spans="1:35" s="9" customFormat="1" x14ac:dyDescent="0.2">
      <c r="A211" s="48"/>
      <c r="B211" s="48"/>
      <c r="C211" s="48" t="s">
        <v>305</v>
      </c>
      <c r="D211" s="49" t="s">
        <v>303</v>
      </c>
      <c r="E211" s="50">
        <f>175</f>
        <v>175</v>
      </c>
      <c r="F211" s="51"/>
      <c r="G211" s="52"/>
      <c r="H211" s="50"/>
      <c r="I211" s="51">
        <f>SUM(U204:U210)</f>
        <v>0.11</v>
      </c>
      <c r="J211" s="50">
        <f>160</f>
        <v>160</v>
      </c>
      <c r="K211" s="51">
        <f>SUM(V204:V210)</f>
        <v>2.93</v>
      </c>
    </row>
    <row r="212" spans="1:35" s="9" customFormat="1" x14ac:dyDescent="0.2">
      <c r="A212" s="54"/>
      <c r="B212" s="54"/>
      <c r="C212" s="54" t="s">
        <v>306</v>
      </c>
      <c r="D212" s="55" t="s">
        <v>307</v>
      </c>
      <c r="E212" s="56">
        <f>Source!AQ102</f>
        <v>12.12</v>
      </c>
      <c r="F212" s="57"/>
      <c r="G212" s="58" t="str">
        <f>Source!DI102</f>
        <v>)*1,2)*1,1</v>
      </c>
      <c r="H212" s="56">
        <f>Source!AV102</f>
        <v>1.0669999999999999</v>
      </c>
      <c r="I212" s="57">
        <f>Source!U102</f>
        <v>68.281171200000003</v>
      </c>
      <c r="J212" s="56"/>
      <c r="K212" s="57"/>
      <c r="AB212" s="42">
        <f>I212</f>
        <v>68.281171200000003</v>
      </c>
    </row>
    <row r="213" spans="1:35" s="9" customFormat="1" x14ac:dyDescent="0.2">
      <c r="C213" s="59" t="s">
        <v>308</v>
      </c>
      <c r="H213" s="60">
        <f>I205+I206+I208+I209+I210+I211+0</f>
        <v>3930.97</v>
      </c>
      <c r="I213" s="60"/>
      <c r="J213" s="60">
        <f>K205+K206+K208+K209+K210+K211+0</f>
        <v>96481.4</v>
      </c>
      <c r="K213" s="60"/>
      <c r="O213" s="42">
        <f>I205+I206+I208+I209+I210+I211+0</f>
        <v>3930.97</v>
      </c>
      <c r="P213" s="42">
        <f>K205+K206+K208+K209+K210+K211+0</f>
        <v>96481.4</v>
      </c>
      <c r="X213" s="9">
        <f>IF(Source!BI102&lt;=1,I205+I206+I208+I209+I210+I211-0, 0)</f>
        <v>0</v>
      </c>
      <c r="Y213" s="9">
        <f>IF(Source!BI102=2,I205+I206+I208+I209+I210+I211-0, 0)</f>
        <v>3930.97</v>
      </c>
      <c r="Z213" s="9">
        <f>IF(Source!BI102=3,I205+I206+I208+I209+I210+I211-0, 0)</f>
        <v>0</v>
      </c>
      <c r="AA213" s="9">
        <f>IF(Source!BI102=4,I205+I206+I208+I209+I210+I211,0)</f>
        <v>0</v>
      </c>
    </row>
    <row r="214" spans="1:35" s="9" customFormat="1" x14ac:dyDescent="0.2"/>
    <row r="215" spans="1:35" s="9" customFormat="1" ht="51" x14ac:dyDescent="0.2">
      <c r="A215" s="48">
        <v>26</v>
      </c>
      <c r="B215" s="48" t="str">
        <f>Source!F103</f>
        <v>4.10-181-3</v>
      </c>
      <c r="C215" s="48" t="s">
        <v>228</v>
      </c>
      <c r="D215" s="49" t="str">
        <f>Source!H103</f>
        <v>1 кросс</v>
      </c>
      <c r="E215" s="50">
        <f>Source!I103</f>
        <v>-4</v>
      </c>
      <c r="F215" s="51"/>
      <c r="G215" s="52"/>
      <c r="H215" s="50"/>
      <c r="I215" s="51"/>
      <c r="J215" s="50"/>
      <c r="K215" s="51"/>
      <c r="Q215" s="9">
        <f>ROUND((Source!DN103/100)*ROUND((ROUND((Source!AF103*Source!AV103*Source!I103),2)),2), 2)</f>
        <v>-168.16</v>
      </c>
      <c r="R215" s="9">
        <f>Source!X103</f>
        <v>-4210.17</v>
      </c>
      <c r="S215" s="9">
        <f>ROUND((Source!DO103/100)*ROUND((ROUND((Source!AF103*Source!AV103*Source!I103),2)),2), 2)</f>
        <v>-105.1</v>
      </c>
      <c r="T215" s="9">
        <f>Source!Y103</f>
        <v>-1876.27</v>
      </c>
      <c r="U215" s="9">
        <f>ROUND((175/100)*ROUND((ROUND((Source!AE103*Source!AV103*Source!I103),2)),2), 2)</f>
        <v>0</v>
      </c>
      <c r="V215" s="9">
        <f>ROUND((160/100)*ROUND(ROUND((ROUND((Source!AE103*Source!AV103*Source!I103),2)*Source!BS103),2), 2), 2)</f>
        <v>0</v>
      </c>
      <c r="AI215" s="9">
        <v>0</v>
      </c>
    </row>
    <row r="216" spans="1:35" s="9" customFormat="1" x14ac:dyDescent="0.2">
      <c r="A216" s="48"/>
      <c r="B216" s="48"/>
      <c r="C216" s="48" t="s">
        <v>299</v>
      </c>
      <c r="D216" s="49"/>
      <c r="E216" s="50"/>
      <c r="F216" s="51">
        <f>Source!AO103</f>
        <v>26.65</v>
      </c>
      <c r="G216" s="52" t="str">
        <f>Source!DG103</f>
        <v>)*1,2)*1,1</v>
      </c>
      <c r="H216" s="50">
        <f>Source!AV103</f>
        <v>1.0669999999999999</v>
      </c>
      <c r="I216" s="51">
        <f>ROUND((ROUND((Source!AF103*Source!AV103*Source!I103),2)),2)</f>
        <v>-150.13999999999999</v>
      </c>
      <c r="J216" s="50">
        <f>IF(Source!BA103&lt;&gt; 0, Source!BA103, 1)</f>
        <v>30.48</v>
      </c>
      <c r="K216" s="51">
        <f>Source!S103</f>
        <v>-4576.2700000000004</v>
      </c>
      <c r="W216" s="9">
        <f>I216</f>
        <v>-150.13999999999999</v>
      </c>
    </row>
    <row r="217" spans="1:35" s="9" customFormat="1" x14ac:dyDescent="0.2">
      <c r="A217" s="48"/>
      <c r="B217" s="48"/>
      <c r="C217" s="48" t="s">
        <v>300</v>
      </c>
      <c r="D217" s="49"/>
      <c r="E217" s="50"/>
      <c r="F217" s="51">
        <f>Source!AM103</f>
        <v>2.96</v>
      </c>
      <c r="G217" s="52" t="str">
        <f>Source!DE103</f>
        <v>)*1,2)*1,1</v>
      </c>
      <c r="H217" s="50">
        <f>Source!AV103</f>
        <v>1.0669999999999999</v>
      </c>
      <c r="I217" s="51">
        <f>(ROUND((ROUND(((((Source!ET103*1.2)*1.1))*Source!AV103*Source!I103),2)),2)+ROUND((ROUND(((Source!AE103-(((Source!EU103*1.2)*1.1)))*Source!AV103*Source!I103),2)),2))</f>
        <v>-16.68</v>
      </c>
      <c r="J217" s="50">
        <f>IF(Source!BB103&lt;&gt; 0, Source!BB103, 1)</f>
        <v>8.3800000000000008</v>
      </c>
      <c r="K217" s="51">
        <f>Source!Q103</f>
        <v>-139.78</v>
      </c>
    </row>
    <row r="218" spans="1:35" s="9" customFormat="1" x14ac:dyDescent="0.2">
      <c r="A218" s="48"/>
      <c r="B218" s="48"/>
      <c r="C218" s="48" t="s">
        <v>309</v>
      </c>
      <c r="D218" s="49"/>
      <c r="E218" s="50"/>
      <c r="F218" s="51">
        <f>Source!AL103</f>
        <v>0.68</v>
      </c>
      <c r="G218" s="52" t="str">
        <f>Source!DD103</f>
        <v>)*1)*1</v>
      </c>
      <c r="H218" s="50">
        <f>Source!AW103</f>
        <v>1.081</v>
      </c>
      <c r="I218" s="51">
        <f>ROUND((ROUND((Source!AC103*Source!AW103*Source!I103),2)),2)</f>
        <v>-2.94</v>
      </c>
      <c r="J218" s="50">
        <f>IF(Source!BC103&lt;&gt; 0, Source!BC103, 1)</f>
        <v>14.46</v>
      </c>
      <c r="K218" s="51">
        <f>Source!P103</f>
        <v>-42.51</v>
      </c>
    </row>
    <row r="219" spans="1:35" s="9" customFormat="1" x14ac:dyDescent="0.2">
      <c r="A219" s="48"/>
      <c r="B219" s="48"/>
      <c r="C219" s="48" t="s">
        <v>302</v>
      </c>
      <c r="D219" s="49" t="s">
        <v>303</v>
      </c>
      <c r="E219" s="50">
        <f>Source!DN103</f>
        <v>112</v>
      </c>
      <c r="F219" s="51"/>
      <c r="G219" s="52"/>
      <c r="H219" s="50"/>
      <c r="I219" s="51">
        <f>SUM(Q215:Q218)</f>
        <v>-168.16</v>
      </c>
      <c r="J219" s="50">
        <f>Source!BZ103</f>
        <v>92</v>
      </c>
      <c r="K219" s="51">
        <f>SUM(R215:R218)</f>
        <v>-4210.17</v>
      </c>
    </row>
    <row r="220" spans="1:35" s="9" customFormat="1" x14ac:dyDescent="0.2">
      <c r="A220" s="48"/>
      <c r="B220" s="48"/>
      <c r="C220" s="48" t="s">
        <v>304</v>
      </c>
      <c r="D220" s="49" t="s">
        <v>303</v>
      </c>
      <c r="E220" s="50">
        <f>Source!DO103</f>
        <v>70</v>
      </c>
      <c r="F220" s="51"/>
      <c r="G220" s="52"/>
      <c r="H220" s="50"/>
      <c r="I220" s="51">
        <f>SUM(S215:S219)</f>
        <v>-105.1</v>
      </c>
      <c r="J220" s="50">
        <f>Source!CA103</f>
        <v>41</v>
      </c>
      <c r="K220" s="51">
        <f>SUM(T215:T219)</f>
        <v>-1876.27</v>
      </c>
    </row>
    <row r="221" spans="1:35" s="9" customFormat="1" x14ac:dyDescent="0.2">
      <c r="A221" s="54"/>
      <c r="B221" s="54"/>
      <c r="C221" s="54" t="s">
        <v>306</v>
      </c>
      <c r="D221" s="55" t="s">
        <v>307</v>
      </c>
      <c r="E221" s="56">
        <f>Source!AQ103</f>
        <v>1.36</v>
      </c>
      <c r="F221" s="57"/>
      <c r="G221" s="58" t="str">
        <f>Source!DI103</f>
        <v>)*1,2)*1,1</v>
      </c>
      <c r="H221" s="56">
        <f>Source!AV103</f>
        <v>1.0669999999999999</v>
      </c>
      <c r="I221" s="57">
        <f>Source!U103</f>
        <v>-7.661913600000001</v>
      </c>
      <c r="J221" s="56"/>
      <c r="K221" s="57"/>
      <c r="AB221" s="42">
        <f>I221</f>
        <v>-7.661913600000001</v>
      </c>
    </row>
    <row r="222" spans="1:35" s="9" customFormat="1" x14ac:dyDescent="0.2">
      <c r="C222" s="59" t="s">
        <v>308</v>
      </c>
      <c r="H222" s="60">
        <f>I216+I217+I218+I219+I220+0</f>
        <v>-443.02</v>
      </c>
      <c r="I222" s="60"/>
      <c r="J222" s="60">
        <f>K216+K217+K218+K219+K220+0</f>
        <v>-10845</v>
      </c>
      <c r="K222" s="60"/>
      <c r="O222" s="42">
        <f>I216+I217+I218+I219+I220+0</f>
        <v>-443.02</v>
      </c>
      <c r="P222" s="42">
        <f>K216+K217+K218+K219+K220+0</f>
        <v>-10845</v>
      </c>
      <c r="X222" s="9">
        <f>IF(Source!BI103&lt;=1,I216+I217+I218+I219+I220-0, 0)</f>
        <v>0</v>
      </c>
      <c r="Y222" s="9">
        <f>IF(Source!BI103=2,I216+I217+I218+I219+I220-0, 0)</f>
        <v>-443.02</v>
      </c>
      <c r="Z222" s="9">
        <f>IF(Source!BI103=3,I216+I217+I218+I219+I220-0, 0)</f>
        <v>0</v>
      </c>
      <c r="AA222" s="9">
        <f>IF(Source!BI103=4,I216+I217+I218+I219+I220,0)</f>
        <v>0</v>
      </c>
    </row>
    <row r="223" spans="1:35" s="9" customFormat="1" x14ac:dyDescent="0.2"/>
    <row r="224" spans="1:35" s="9" customFormat="1" ht="38.25" x14ac:dyDescent="0.2">
      <c r="A224" s="54">
        <v>27</v>
      </c>
      <c r="B224" s="54" t="str">
        <f>Source!F104</f>
        <v>Цена поставщика</v>
      </c>
      <c r="C224" s="54" t="s">
        <v>315</v>
      </c>
      <c r="D224" s="55" t="str">
        <f>Source!H104</f>
        <v>шт.</v>
      </c>
      <c r="E224" s="56">
        <f>Source!I104</f>
        <v>4</v>
      </c>
      <c r="F224" s="57">
        <f>Source!AL104</f>
        <v>351.72999999999996</v>
      </c>
      <c r="G224" s="58" t="str">
        <f>Source!DD104</f>
        <v/>
      </c>
      <c r="H224" s="56">
        <f>Source!AW104</f>
        <v>1</v>
      </c>
      <c r="I224" s="57">
        <f>ROUND((ROUND((Source!AC104*Source!AW104*Source!I104),2)),2)</f>
        <v>1406.92</v>
      </c>
      <c r="J224" s="56">
        <f>IF(Source!BC104&lt;&gt; 0, Source!BC104, 1)</f>
        <v>9.57</v>
      </c>
      <c r="K224" s="57">
        <f>Source!P104</f>
        <v>13464.22</v>
      </c>
      <c r="Q224" s="9">
        <f>ROUND((Source!DN104/100)*ROUND((ROUND((Source!AF104*Source!AV104*Source!I104),2)),2), 2)</f>
        <v>0</v>
      </c>
      <c r="R224" s="9">
        <f>Source!X104</f>
        <v>0</v>
      </c>
      <c r="S224" s="9">
        <f>ROUND((Source!DO104/100)*ROUND((ROUND((Source!AF104*Source!AV104*Source!I104),2)),2), 2)</f>
        <v>0</v>
      </c>
      <c r="T224" s="9">
        <f>Source!Y104</f>
        <v>0</v>
      </c>
      <c r="U224" s="9">
        <f>ROUND((175/100)*ROUND((ROUND((Source!AE104*Source!AV104*Source!I104),2)),2), 2)</f>
        <v>0</v>
      </c>
      <c r="V224" s="9">
        <f>ROUND((160/100)*ROUND(ROUND((ROUND((Source!AE104*Source!AV104*Source!I104),2)*Source!BS104),2), 2), 2)</f>
        <v>0</v>
      </c>
      <c r="AI224" s="9">
        <v>3</v>
      </c>
    </row>
    <row r="225" spans="1:35" s="9" customFormat="1" x14ac:dyDescent="0.2">
      <c r="C225" s="59" t="s">
        <v>308</v>
      </c>
      <c r="H225" s="60">
        <f>I224+0</f>
        <v>1406.92</v>
      </c>
      <c r="I225" s="60"/>
      <c r="J225" s="60">
        <f>K224+0</f>
        <v>13464.22</v>
      </c>
      <c r="K225" s="60"/>
      <c r="O225" s="42">
        <f>I224+0</f>
        <v>1406.92</v>
      </c>
      <c r="P225" s="42">
        <f>K224+0</f>
        <v>13464.22</v>
      </c>
      <c r="X225" s="9">
        <f>IF(Source!BI104&lt;=1,I224-0, 0)</f>
        <v>0</v>
      </c>
      <c r="Y225" s="9">
        <f>IF(Source!BI104=2,I224-0, 0)</f>
        <v>1406.92</v>
      </c>
      <c r="Z225" s="9">
        <f>IF(Source!BI104=3,I224-0, 0)</f>
        <v>0</v>
      </c>
      <c r="AA225" s="9">
        <f>IF(Source!BI104=4,I224,0)</f>
        <v>0</v>
      </c>
    </row>
    <row r="226" spans="1:35" s="9" customFormat="1" x14ac:dyDescent="0.2"/>
    <row r="227" spans="1:35" s="9" customFormat="1" ht="38.25" x14ac:dyDescent="0.2">
      <c r="A227" s="48">
        <v>28</v>
      </c>
      <c r="B227" s="48" t="str">
        <f>Source!F105</f>
        <v>4.8-292-1</v>
      </c>
      <c r="C227" s="48" t="s">
        <v>235</v>
      </c>
      <c r="D227" s="49" t="str">
        <f>Source!H105</f>
        <v>1 Т</v>
      </c>
      <c r="E227" s="50">
        <f>Source!I105</f>
        <v>2.4570000000000002E-2</v>
      </c>
      <c r="F227" s="51"/>
      <c r="G227" s="52"/>
      <c r="H227" s="50"/>
      <c r="I227" s="51"/>
      <c r="J227" s="50"/>
      <c r="K227" s="51"/>
      <c r="Q227" s="9">
        <f>ROUND((Source!DN105/100)*ROUND((ROUND((Source!AF105*Source!AV105*Source!I105),2)),2), 2)</f>
        <v>56.46</v>
      </c>
      <c r="R227" s="9">
        <f>Source!X105</f>
        <v>1413.58</v>
      </c>
      <c r="S227" s="9">
        <f>ROUND((Source!DO105/100)*ROUND((ROUND((Source!AF105*Source!AV105*Source!I105),2)),2), 2)</f>
        <v>35.29</v>
      </c>
      <c r="T227" s="9">
        <f>Source!Y105</f>
        <v>660.7</v>
      </c>
      <c r="U227" s="9">
        <f>ROUND((175/100)*ROUND((ROUND((Source!AE105*Source!AV105*Source!I105),2)),2), 2)</f>
        <v>0.37</v>
      </c>
      <c r="V227" s="9">
        <f>ROUND((160/100)*ROUND(ROUND((ROUND((Source!AE105*Source!AV105*Source!I105),2)*Source!BS105),2), 2), 2)</f>
        <v>10.24</v>
      </c>
      <c r="AI227" s="9">
        <v>0</v>
      </c>
    </row>
    <row r="228" spans="1:35" s="9" customFormat="1" x14ac:dyDescent="0.2">
      <c r="C228" s="22" t="str">
        <f>"Объем: "&amp;Source!I105&amp;"=24,57/"&amp;"1000"</f>
        <v>Объем: 0,02457=24,57/1000</v>
      </c>
    </row>
    <row r="229" spans="1:35" s="9" customFormat="1" x14ac:dyDescent="0.2">
      <c r="A229" s="48"/>
      <c r="B229" s="48"/>
      <c r="C229" s="48" t="s">
        <v>299</v>
      </c>
      <c r="D229" s="49"/>
      <c r="E229" s="50"/>
      <c r="F229" s="51">
        <f>Source!AO105</f>
        <v>1456.85</v>
      </c>
      <c r="G229" s="52" t="str">
        <f>Source!DG105</f>
        <v>)*1,2)*1,1</v>
      </c>
      <c r="H229" s="50">
        <f>Source!AV105</f>
        <v>1.0669999999999999</v>
      </c>
      <c r="I229" s="51">
        <f>ROUND((ROUND((Source!AF105*Source!AV105*Source!I105),2)),2)</f>
        <v>50.41</v>
      </c>
      <c r="J229" s="50">
        <f>IF(Source!BA105&lt;&gt; 0, Source!BA105, 1)</f>
        <v>30.48</v>
      </c>
      <c r="K229" s="51">
        <f>Source!S105</f>
        <v>1536.5</v>
      </c>
      <c r="W229" s="9">
        <f>I229</f>
        <v>50.41</v>
      </c>
    </row>
    <row r="230" spans="1:35" s="9" customFormat="1" x14ac:dyDescent="0.2">
      <c r="A230" s="48"/>
      <c r="B230" s="48"/>
      <c r="C230" s="48" t="s">
        <v>300</v>
      </c>
      <c r="D230" s="49"/>
      <c r="E230" s="50"/>
      <c r="F230" s="51">
        <f>Source!AM105</f>
        <v>302.51</v>
      </c>
      <c r="G230" s="52" t="str">
        <f>Source!DE105</f>
        <v>)*1,2)*1,1</v>
      </c>
      <c r="H230" s="50">
        <f>Source!AV105</f>
        <v>1.0669999999999999</v>
      </c>
      <c r="I230" s="51">
        <f>(ROUND((ROUND(((((Source!ET105*1.2)*1.1))*Source!AV105*Source!I105),2)),2)+ROUND((ROUND(((Source!AE105-(((Source!EU105*1.2)*1.1)))*Source!AV105*Source!I105),2)),2))</f>
        <v>10.47</v>
      </c>
      <c r="J230" s="50">
        <f>IF(Source!BB105&lt;&gt; 0, Source!BB105, 1)</f>
        <v>11.22</v>
      </c>
      <c r="K230" s="51">
        <f>Source!Q105</f>
        <v>117.47</v>
      </c>
    </row>
    <row r="231" spans="1:35" s="9" customFormat="1" x14ac:dyDescent="0.2">
      <c r="A231" s="48"/>
      <c r="B231" s="48"/>
      <c r="C231" s="48" t="s">
        <v>301</v>
      </c>
      <c r="D231" s="49"/>
      <c r="E231" s="50"/>
      <c r="F231" s="51">
        <f>Source!AN105</f>
        <v>6.19</v>
      </c>
      <c r="G231" s="52" t="str">
        <f>Source!DF105</f>
        <v>)*1,2)*1,1</v>
      </c>
      <c r="H231" s="50">
        <f>Source!AV105</f>
        <v>1.0669999999999999</v>
      </c>
      <c r="I231" s="53">
        <f>ROUND((ROUND((Source!AE105*Source!AV105*Source!I105),2)),2)</f>
        <v>0.21</v>
      </c>
      <c r="J231" s="50">
        <f>IF(Source!BS105&lt;&gt; 0, Source!BS105, 1)</f>
        <v>30.48</v>
      </c>
      <c r="K231" s="53">
        <f>Source!R105</f>
        <v>6.4</v>
      </c>
      <c r="W231" s="9">
        <f>I231</f>
        <v>0.21</v>
      </c>
    </row>
    <row r="232" spans="1:35" s="9" customFormat="1" x14ac:dyDescent="0.2">
      <c r="A232" s="48"/>
      <c r="B232" s="48"/>
      <c r="C232" s="48" t="s">
        <v>309</v>
      </c>
      <c r="D232" s="49"/>
      <c r="E232" s="50"/>
      <c r="F232" s="51">
        <f>Source!AL105</f>
        <v>258.89</v>
      </c>
      <c r="G232" s="52" t="str">
        <f>Source!DD105</f>
        <v>)*1)*1</v>
      </c>
      <c r="H232" s="50">
        <f>Source!AW105</f>
        <v>1.081</v>
      </c>
      <c r="I232" s="51">
        <f>ROUND((ROUND((Source!AC105*Source!AW105*Source!I105),2)),2)</f>
        <v>6.88</v>
      </c>
      <c r="J232" s="50">
        <f>IF(Source!BC105&lt;&gt; 0, Source!BC105, 1)</f>
        <v>7.18</v>
      </c>
      <c r="K232" s="51">
        <f>Source!P105</f>
        <v>49.4</v>
      </c>
    </row>
    <row r="233" spans="1:35" s="9" customFormat="1" x14ac:dyDescent="0.2">
      <c r="A233" s="48"/>
      <c r="B233" s="48"/>
      <c r="C233" s="48" t="s">
        <v>302</v>
      </c>
      <c r="D233" s="49" t="s">
        <v>303</v>
      </c>
      <c r="E233" s="50">
        <f>Source!DN105</f>
        <v>112</v>
      </c>
      <c r="F233" s="51"/>
      <c r="G233" s="52"/>
      <c r="H233" s="50"/>
      <c r="I233" s="51">
        <f>SUM(Q227:Q232)</f>
        <v>56.46</v>
      </c>
      <c r="J233" s="50">
        <f>Source!BZ105</f>
        <v>92</v>
      </c>
      <c r="K233" s="51">
        <f>SUM(R227:R232)</f>
        <v>1413.58</v>
      </c>
    </row>
    <row r="234" spans="1:35" s="9" customFormat="1" x14ac:dyDescent="0.2">
      <c r="A234" s="48"/>
      <c r="B234" s="48"/>
      <c r="C234" s="48" t="s">
        <v>304</v>
      </c>
      <c r="D234" s="49" t="s">
        <v>303</v>
      </c>
      <c r="E234" s="50">
        <f>Source!DO105</f>
        <v>70</v>
      </c>
      <c r="F234" s="51"/>
      <c r="G234" s="52"/>
      <c r="H234" s="50"/>
      <c r="I234" s="51">
        <f>SUM(S227:S233)</f>
        <v>35.29</v>
      </c>
      <c r="J234" s="50">
        <f>Source!CA105</f>
        <v>43</v>
      </c>
      <c r="K234" s="51">
        <f>SUM(T227:T233)</f>
        <v>660.7</v>
      </c>
    </row>
    <row r="235" spans="1:35" s="9" customFormat="1" x14ac:dyDescent="0.2">
      <c r="A235" s="48"/>
      <c r="B235" s="48"/>
      <c r="C235" s="48" t="s">
        <v>305</v>
      </c>
      <c r="D235" s="49" t="s">
        <v>303</v>
      </c>
      <c r="E235" s="50">
        <f>175</f>
        <v>175</v>
      </c>
      <c r="F235" s="51"/>
      <c r="G235" s="52"/>
      <c r="H235" s="50"/>
      <c r="I235" s="51">
        <f>SUM(U227:U234)</f>
        <v>0.37</v>
      </c>
      <c r="J235" s="50">
        <f>160</f>
        <v>160</v>
      </c>
      <c r="K235" s="51">
        <f>SUM(V227:V234)</f>
        <v>10.24</v>
      </c>
    </row>
    <row r="236" spans="1:35" s="9" customFormat="1" x14ac:dyDescent="0.2">
      <c r="A236" s="54"/>
      <c r="B236" s="54"/>
      <c r="C236" s="54" t="s">
        <v>306</v>
      </c>
      <c r="D236" s="55" t="s">
        <v>307</v>
      </c>
      <c r="E236" s="56">
        <f>Source!AQ105</f>
        <v>100.33</v>
      </c>
      <c r="F236" s="57"/>
      <c r="G236" s="58" t="str">
        <f>Source!DI105</f>
        <v>)*1,2)*1,1</v>
      </c>
      <c r="H236" s="56">
        <f>Source!AV105</f>
        <v>1.0669999999999999</v>
      </c>
      <c r="I236" s="57">
        <f>Source!U105</f>
        <v>3.4719568523639999</v>
      </c>
      <c r="J236" s="56"/>
      <c r="K236" s="57"/>
      <c r="AB236" s="42">
        <f>I236</f>
        <v>3.4719568523639999</v>
      </c>
    </row>
    <row r="237" spans="1:35" s="9" customFormat="1" x14ac:dyDescent="0.2">
      <c r="C237" s="59" t="s">
        <v>308</v>
      </c>
      <c r="H237" s="60">
        <f>I229+I230+I232+I233+I234+I235+0</f>
        <v>159.88</v>
      </c>
      <c r="I237" s="60"/>
      <c r="J237" s="60">
        <f>K229+K230+K232+K233+K234+K235+0</f>
        <v>3787.8899999999994</v>
      </c>
      <c r="K237" s="60"/>
      <c r="O237" s="42">
        <f>I229+I230+I232+I233+I234+I235+0</f>
        <v>159.88</v>
      </c>
      <c r="P237" s="42">
        <f>K229+K230+K232+K233+K234+K235+0</f>
        <v>3787.8899999999994</v>
      </c>
      <c r="X237" s="9">
        <f>IF(Source!BI105&lt;=1,I229+I230+I232+I233+I234+I235-0, 0)</f>
        <v>0</v>
      </c>
      <c r="Y237" s="9">
        <f>IF(Source!BI105=2,I229+I230+I232+I233+I234+I235-0, 0)</f>
        <v>159.88</v>
      </c>
      <c r="Z237" s="9">
        <f>IF(Source!BI105=3,I229+I230+I232+I233+I234+I235-0, 0)</f>
        <v>0</v>
      </c>
      <c r="AA237" s="9">
        <f>IF(Source!BI105=4,I229+I230+I232+I233+I234+I235,0)</f>
        <v>0</v>
      </c>
    </row>
    <row r="238" spans="1:35" s="9" customFormat="1" x14ac:dyDescent="0.2"/>
    <row r="239" spans="1:35" s="9" customFormat="1" ht="51.75" customHeight="1" x14ac:dyDescent="0.2">
      <c r="A239" s="54">
        <v>29</v>
      </c>
      <c r="B239" s="54" t="str">
        <f>Source!F106</f>
        <v>1.21-5-1358</v>
      </c>
      <c r="C239" s="54" t="s">
        <v>242</v>
      </c>
      <c r="D239" s="55" t="str">
        <f>Source!H106</f>
        <v>шт.</v>
      </c>
      <c r="E239" s="56">
        <f>Source!I106</f>
        <v>6</v>
      </c>
      <c r="F239" s="57">
        <f>Source!AL106</f>
        <v>126.05</v>
      </c>
      <c r="G239" s="58" t="str">
        <f>Source!DD106</f>
        <v/>
      </c>
      <c r="H239" s="56">
        <f>Source!AW106</f>
        <v>1</v>
      </c>
      <c r="I239" s="57">
        <f>ROUND((ROUND((Source!AC106*Source!AW106*Source!I106),2)),2)</f>
        <v>756.3</v>
      </c>
      <c r="J239" s="56">
        <f>IF(Source!BC106&lt;&gt; 0, Source!BC106, 1)</f>
        <v>3.16</v>
      </c>
      <c r="K239" s="57">
        <f>Source!P106</f>
        <v>2389.91</v>
      </c>
      <c r="Q239" s="9">
        <f>ROUND((Source!DN106/100)*ROUND((ROUND((Source!AF106*Source!AV106*Source!I106),2)),2), 2)</f>
        <v>0</v>
      </c>
      <c r="R239" s="9">
        <f>Source!X106</f>
        <v>0</v>
      </c>
      <c r="S239" s="9">
        <f>ROUND((Source!DO106/100)*ROUND((ROUND((Source!AF106*Source!AV106*Source!I106),2)),2), 2)</f>
        <v>0</v>
      </c>
      <c r="T239" s="9">
        <f>Source!Y106</f>
        <v>0</v>
      </c>
      <c r="U239" s="9">
        <f>ROUND((175/100)*ROUND((ROUND((Source!AE106*Source!AV106*Source!I106),2)),2), 2)</f>
        <v>0</v>
      </c>
      <c r="V239" s="9">
        <f>ROUND((160/100)*ROUND(ROUND((ROUND((Source!AE106*Source!AV106*Source!I106),2)*Source!BS106),2), 2), 2)</f>
        <v>0</v>
      </c>
      <c r="AI239" s="9">
        <v>3</v>
      </c>
    </row>
    <row r="240" spans="1:35" s="9" customFormat="1" x14ac:dyDescent="0.2">
      <c r="C240" s="59" t="s">
        <v>308</v>
      </c>
      <c r="H240" s="60">
        <f>I239+0</f>
        <v>756.3</v>
      </c>
      <c r="I240" s="60"/>
      <c r="J240" s="60">
        <f>K239+0</f>
        <v>2389.91</v>
      </c>
      <c r="K240" s="60"/>
      <c r="O240" s="42">
        <f>I239+0</f>
        <v>756.3</v>
      </c>
      <c r="P240" s="42">
        <f>K239+0</f>
        <v>2389.91</v>
      </c>
      <c r="X240" s="9">
        <f>IF(Source!BI106&lt;=1,I239-0, 0)</f>
        <v>0</v>
      </c>
      <c r="Y240" s="9">
        <f>IF(Source!BI106=2,I239-0, 0)</f>
        <v>756.3</v>
      </c>
      <c r="Z240" s="9">
        <f>IF(Source!BI106=3,I239-0, 0)</f>
        <v>0</v>
      </c>
      <c r="AA240" s="9">
        <f>IF(Source!BI106=4,I239,0)</f>
        <v>0</v>
      </c>
    </row>
    <row r="241" spans="1:35" s="9" customFormat="1" x14ac:dyDescent="0.2"/>
    <row r="242" spans="1:35" s="9" customFormat="1" ht="63.75" x14ac:dyDescent="0.2">
      <c r="A242" s="54">
        <v>30</v>
      </c>
      <c r="B242" s="54" t="str">
        <f>Source!F107</f>
        <v>1.21-5-1403</v>
      </c>
      <c r="C242" s="54" t="s">
        <v>246</v>
      </c>
      <c r="D242" s="55" t="str">
        <f>Source!H107</f>
        <v>шт.</v>
      </c>
      <c r="E242" s="56">
        <f>Source!I107</f>
        <v>6</v>
      </c>
      <c r="F242" s="57">
        <f>Source!AL107</f>
        <v>127.13</v>
      </c>
      <c r="G242" s="58" t="str">
        <f>Source!DD107</f>
        <v/>
      </c>
      <c r="H242" s="56">
        <f>Source!AW107</f>
        <v>1</v>
      </c>
      <c r="I242" s="57">
        <f>ROUND((ROUND((Source!AC107*Source!AW107*Source!I107),2)),2)</f>
        <v>762.78</v>
      </c>
      <c r="J242" s="56">
        <f>IF(Source!BC107&lt;&gt; 0, Source!BC107, 1)</f>
        <v>4.43</v>
      </c>
      <c r="K242" s="57">
        <f>Source!P107</f>
        <v>3379.12</v>
      </c>
      <c r="Q242" s="9">
        <f>ROUND((Source!DN107/100)*ROUND((ROUND((Source!AF107*Source!AV107*Source!I107),2)),2), 2)</f>
        <v>0</v>
      </c>
      <c r="R242" s="9">
        <f>Source!X107</f>
        <v>0</v>
      </c>
      <c r="S242" s="9">
        <f>ROUND((Source!DO107/100)*ROUND((ROUND((Source!AF107*Source!AV107*Source!I107),2)),2), 2)</f>
        <v>0</v>
      </c>
      <c r="T242" s="9">
        <f>Source!Y107</f>
        <v>0</v>
      </c>
      <c r="U242" s="9">
        <f>ROUND((175/100)*ROUND((ROUND((Source!AE107*Source!AV107*Source!I107),2)),2), 2)</f>
        <v>0</v>
      </c>
      <c r="V242" s="9">
        <f>ROUND((160/100)*ROUND(ROUND((ROUND((Source!AE107*Source!AV107*Source!I107),2)*Source!BS107),2), 2), 2)</f>
        <v>0</v>
      </c>
      <c r="AI242" s="9">
        <v>3</v>
      </c>
    </row>
    <row r="243" spans="1:35" s="9" customFormat="1" x14ac:dyDescent="0.2">
      <c r="C243" s="59" t="s">
        <v>308</v>
      </c>
      <c r="H243" s="60">
        <f>I242+0</f>
        <v>762.78</v>
      </c>
      <c r="I243" s="60"/>
      <c r="J243" s="60">
        <f>K242+0</f>
        <v>3379.12</v>
      </c>
      <c r="K243" s="60"/>
      <c r="O243" s="42">
        <f>I242+0</f>
        <v>762.78</v>
      </c>
      <c r="P243" s="42">
        <f>K242+0</f>
        <v>3379.12</v>
      </c>
      <c r="X243" s="9">
        <f>IF(Source!BI107&lt;=1,I242-0, 0)</f>
        <v>0</v>
      </c>
      <c r="Y243" s="9">
        <f>IF(Source!BI107=2,I242-0, 0)</f>
        <v>762.78</v>
      </c>
      <c r="Z243" s="9">
        <f>IF(Source!BI107=3,I242-0, 0)</f>
        <v>0</v>
      </c>
      <c r="AA243" s="9">
        <f>IF(Source!BI107=4,I242,0)</f>
        <v>0</v>
      </c>
    </row>
    <row r="244" spans="1:35" s="9" customFormat="1" x14ac:dyDescent="0.2"/>
    <row r="245" spans="1:35" s="9" customFormat="1" ht="38.25" x14ac:dyDescent="0.2">
      <c r="A245" s="48">
        <v>31</v>
      </c>
      <c r="B245" s="48" t="str">
        <f>Source!F108</f>
        <v>3.13-31-1</v>
      </c>
      <c r="C245" s="48" t="s">
        <v>250</v>
      </c>
      <c r="D245" s="49" t="str">
        <f>Source!H108</f>
        <v>1 м2 покрытия</v>
      </c>
      <c r="E245" s="50">
        <f>Source!I108</f>
        <v>77.551699999999997</v>
      </c>
      <c r="F245" s="51"/>
      <c r="G245" s="52"/>
      <c r="H245" s="50"/>
      <c r="I245" s="51"/>
      <c r="J245" s="50"/>
      <c r="K245" s="51"/>
      <c r="Q245" s="9">
        <f>ROUND((Source!DN108/100)*ROUND((ROUND((Source!AF108*Source!AV108*Source!I108),2)),2), 2)</f>
        <v>3979.36</v>
      </c>
      <c r="R245" s="9">
        <f>Source!X108</f>
        <v>100498.26</v>
      </c>
      <c r="S245" s="9">
        <f>ROUND((Source!DO108/100)*ROUND((ROUND((Source!AF108*Source!AV108*Source!I108),2)),2), 2)</f>
        <v>2918.2</v>
      </c>
      <c r="T245" s="9">
        <f>Source!Y108</f>
        <v>47361.25</v>
      </c>
      <c r="U245" s="9">
        <f>ROUND((175/100)*ROUND((ROUND((Source!AE108*Source!AV108*Source!I108),2)),2), 2)</f>
        <v>0</v>
      </c>
      <c r="V245" s="9">
        <f>ROUND((160/100)*ROUND(ROUND((ROUND((Source!AE108*Source!AV108*Source!I108),2)*Source!BS108),2), 2), 2)</f>
        <v>0</v>
      </c>
      <c r="AI245" s="9">
        <v>0</v>
      </c>
    </row>
    <row r="246" spans="1:35" s="9" customFormat="1" x14ac:dyDescent="0.2">
      <c r="C246" s="22" t="str">
        <f>"Объем: "&amp;Source!I108&amp;"=(1000+"&amp;"1190+"&amp;"140)*"&amp;"10,6*"&amp;"3,14/"&amp;"1000"</f>
        <v>Объем: 77,5517=(1000+1190+140)*10,6*3,14/1000</v>
      </c>
    </row>
    <row r="247" spans="1:35" s="9" customFormat="1" x14ac:dyDescent="0.2">
      <c r="A247" s="48"/>
      <c r="B247" s="48"/>
      <c r="C247" s="48" t="s">
        <v>299</v>
      </c>
      <c r="D247" s="49"/>
      <c r="E247" s="50"/>
      <c r="F247" s="51">
        <f>Source!AO108</f>
        <v>35.36</v>
      </c>
      <c r="G247" s="52" t="str">
        <f>Source!DG108</f>
        <v>)*1,2)*1,1</v>
      </c>
      <c r="H247" s="50">
        <f>Source!AV108</f>
        <v>1.0469999999999999</v>
      </c>
      <c r="I247" s="51">
        <f>ROUND((ROUND((Source!AF108*Source!AV108*Source!I108),2)),2)</f>
        <v>3789.87</v>
      </c>
      <c r="J247" s="50">
        <f>IF(Source!BA108&lt;&gt; 0, Source!BA108, 1)</f>
        <v>30.48</v>
      </c>
      <c r="K247" s="51">
        <f>Source!S108</f>
        <v>115515.24</v>
      </c>
      <c r="W247" s="9">
        <f>I247</f>
        <v>3789.87</v>
      </c>
    </row>
    <row r="248" spans="1:35" s="9" customFormat="1" x14ac:dyDescent="0.2">
      <c r="A248" s="48"/>
      <c r="B248" s="48"/>
      <c r="C248" s="48" t="s">
        <v>302</v>
      </c>
      <c r="D248" s="49" t="s">
        <v>303</v>
      </c>
      <c r="E248" s="50">
        <f>Source!DN108</f>
        <v>105</v>
      </c>
      <c r="F248" s="51"/>
      <c r="G248" s="52"/>
      <c r="H248" s="50"/>
      <c r="I248" s="51">
        <f>SUM(Q245:Q247)</f>
        <v>3979.36</v>
      </c>
      <c r="J248" s="50">
        <f>Source!BZ108</f>
        <v>87</v>
      </c>
      <c r="K248" s="51">
        <f>SUM(R245:R247)</f>
        <v>100498.26</v>
      </c>
    </row>
    <row r="249" spans="1:35" s="9" customFormat="1" x14ac:dyDescent="0.2">
      <c r="A249" s="48"/>
      <c r="B249" s="48"/>
      <c r="C249" s="48" t="s">
        <v>304</v>
      </c>
      <c r="D249" s="49" t="s">
        <v>303</v>
      </c>
      <c r="E249" s="50">
        <f>Source!DO108</f>
        <v>77</v>
      </c>
      <c r="F249" s="51"/>
      <c r="G249" s="52"/>
      <c r="H249" s="50"/>
      <c r="I249" s="51">
        <f>SUM(S245:S248)</f>
        <v>2918.2</v>
      </c>
      <c r="J249" s="50">
        <f>Source!CA108</f>
        <v>41</v>
      </c>
      <c r="K249" s="51">
        <f>SUM(T245:T248)</f>
        <v>47361.25</v>
      </c>
    </row>
    <row r="250" spans="1:35" s="9" customFormat="1" x14ac:dyDescent="0.2">
      <c r="A250" s="54"/>
      <c r="B250" s="54"/>
      <c r="C250" s="54" t="s">
        <v>306</v>
      </c>
      <c r="D250" s="55" t="s">
        <v>307</v>
      </c>
      <c r="E250" s="56">
        <f>Source!AQ108</f>
        <v>3.04</v>
      </c>
      <c r="F250" s="57"/>
      <c r="G250" s="58" t="str">
        <f>Source!DI108</f>
        <v>)*1,2)*1,1</v>
      </c>
      <c r="H250" s="56">
        <f>Source!AV108</f>
        <v>1.0469999999999999</v>
      </c>
      <c r="I250" s="57">
        <f>Source!U108</f>
        <v>325.82583646272002</v>
      </c>
      <c r="J250" s="56"/>
      <c r="K250" s="57"/>
      <c r="AB250" s="42">
        <f>I250</f>
        <v>325.82583646272002</v>
      </c>
    </row>
    <row r="251" spans="1:35" s="9" customFormat="1" x14ac:dyDescent="0.2">
      <c r="C251" s="59" t="s">
        <v>308</v>
      </c>
      <c r="H251" s="60">
        <f>I247+I248+I249+0</f>
        <v>10687.43</v>
      </c>
      <c r="I251" s="60"/>
      <c r="J251" s="60">
        <f>K247+K248+K249+0</f>
        <v>263374.75</v>
      </c>
      <c r="K251" s="60"/>
      <c r="O251" s="42">
        <f>I247+I248+I249+0</f>
        <v>10687.43</v>
      </c>
      <c r="P251" s="42">
        <f>K247+K248+K249+0</f>
        <v>263374.75</v>
      </c>
      <c r="X251" s="9">
        <f>IF(Source!BI108&lt;=1,I247+I248+I249-0, 0)</f>
        <v>10687.43</v>
      </c>
      <c r="Y251" s="9">
        <f>IF(Source!BI108=2,I247+I248+I249-0, 0)</f>
        <v>0</v>
      </c>
      <c r="Z251" s="9">
        <f>IF(Source!BI108=3,I247+I248+I249-0, 0)</f>
        <v>0</v>
      </c>
      <c r="AA251" s="9">
        <f>IF(Source!BI108=4,I247+I248+I249,0)</f>
        <v>0</v>
      </c>
    </row>
    <row r="252" spans="1:35" s="9" customFormat="1" x14ac:dyDescent="0.2"/>
    <row r="253" spans="1:35" s="9" customFormat="1" ht="91.5" customHeight="1" x14ac:dyDescent="0.2">
      <c r="A253" s="48">
        <v>32</v>
      </c>
      <c r="B253" s="48" t="str">
        <f>Source!F109</f>
        <v>1.1-1-1970</v>
      </c>
      <c r="C253" s="48" t="s">
        <v>271</v>
      </c>
      <c r="D253" s="49" t="str">
        <f>Source!H109</f>
        <v>т</v>
      </c>
      <c r="E253" s="50">
        <f>Source!I109</f>
        <v>0.1163</v>
      </c>
      <c r="F253" s="51">
        <f>Source!AL109</f>
        <v>201954.73</v>
      </c>
      <c r="G253" s="52" t="str">
        <f>Source!DD109</f>
        <v/>
      </c>
      <c r="H253" s="50">
        <f>Source!AW109</f>
        <v>1</v>
      </c>
      <c r="I253" s="51">
        <f>ROUND((ROUND((Source!AC109*Source!AW109*Source!I109),2)),2)</f>
        <v>23487.34</v>
      </c>
      <c r="J253" s="50">
        <f>IF(Source!BC109&lt;&gt; 0, Source!BC109, 1)</f>
        <v>2.04</v>
      </c>
      <c r="K253" s="51">
        <f>Source!P109</f>
        <v>47914.17</v>
      </c>
      <c r="Q253" s="9">
        <f>ROUND((Source!DN109/100)*ROUND((ROUND((Source!AF109*Source!AV109*Source!I109),2)),2), 2)</f>
        <v>0</v>
      </c>
      <c r="R253" s="9">
        <f>Source!X109</f>
        <v>0</v>
      </c>
      <c r="S253" s="9">
        <f>ROUND((Source!DO109/100)*ROUND((ROUND((Source!AF109*Source!AV109*Source!I109),2)),2), 2)</f>
        <v>0</v>
      </c>
      <c r="T253" s="9">
        <f>Source!Y109</f>
        <v>0</v>
      </c>
      <c r="U253" s="9">
        <f>ROUND((175/100)*ROUND((ROUND((Source!AE109*Source!AV109*Source!I109),2)),2), 2)</f>
        <v>0</v>
      </c>
      <c r="V253" s="9">
        <f>ROUND((160/100)*ROUND(ROUND((ROUND((Source!AE109*Source!AV109*Source!I109),2)*Source!BS109),2), 2), 2)</f>
        <v>0</v>
      </c>
      <c r="AI253" s="9">
        <v>3</v>
      </c>
    </row>
    <row r="254" spans="1:35" s="9" customFormat="1" x14ac:dyDescent="0.2">
      <c r="A254" s="65"/>
      <c r="B254" s="65"/>
      <c r="C254" s="26" t="str">
        <f>"Объем: "&amp;Source!I109&amp;"=("&amp;Source!I108&amp;"*"&amp;"1,5/"&amp;"1000)"</f>
        <v>Объем: 0,1163=(77,5517*1,5/1000)</v>
      </c>
      <c r="D254" s="65"/>
      <c r="E254" s="65"/>
      <c r="F254" s="65"/>
      <c r="G254" s="65"/>
      <c r="H254" s="65"/>
      <c r="I254" s="65"/>
      <c r="J254" s="65"/>
      <c r="K254" s="65"/>
    </row>
    <row r="255" spans="1:35" s="9" customFormat="1" x14ac:dyDescent="0.2">
      <c r="C255" s="59" t="s">
        <v>308</v>
      </c>
      <c r="H255" s="60">
        <f>I253+0</f>
        <v>23487.34</v>
      </c>
      <c r="I255" s="60"/>
      <c r="J255" s="60">
        <f>K253+0</f>
        <v>47914.17</v>
      </c>
      <c r="K255" s="60"/>
      <c r="O255" s="42">
        <f>I253+0</f>
        <v>23487.34</v>
      </c>
      <c r="P255" s="42">
        <f>K253+0</f>
        <v>47914.17</v>
      </c>
      <c r="X255" s="9">
        <f>IF(Source!BI109&lt;=1,I253-0, 0)</f>
        <v>23487.34</v>
      </c>
      <c r="Y255" s="9">
        <f>IF(Source!BI109=2,I253-0, 0)</f>
        <v>0</v>
      </c>
      <c r="Z255" s="9">
        <f>IF(Source!BI109=3,I253-0, 0)</f>
        <v>0</v>
      </c>
      <c r="AA255" s="9">
        <f>IF(Source!BI109=4,I253,0)</f>
        <v>0</v>
      </c>
    </row>
    <row r="256" spans="1:35" s="9" customFormat="1" x14ac:dyDescent="0.2"/>
    <row r="257" spans="1:43" s="9" customFormat="1" x14ac:dyDescent="0.2"/>
    <row r="258" spans="1:43" s="9" customFormat="1" ht="12" customHeight="1" x14ac:dyDescent="0.2">
      <c r="A258" s="62" t="str">
        <f>CONCATENATE("Итого по подразделу: ",IF(Source!G111&lt;&gt;"Новый подраздел", Source!G111, ""))</f>
        <v>Итого по подразделу: Монтажные работы</v>
      </c>
      <c r="B258" s="62"/>
      <c r="C258" s="62"/>
      <c r="D258" s="62"/>
      <c r="E258" s="62"/>
      <c r="F258" s="62"/>
      <c r="G258" s="62"/>
      <c r="H258" s="63">
        <f>SUM(O179:O257)</f>
        <v>154606.85</v>
      </c>
      <c r="I258" s="64"/>
      <c r="J258" s="63">
        <f>SUM(P179:P257)</f>
        <v>1445544.3499999996</v>
      </c>
      <c r="K258" s="64"/>
    </row>
    <row r="259" spans="1:43" s="9" customFormat="1" ht="12" hidden="1" customHeight="1" x14ac:dyDescent="0.2">
      <c r="A259" s="62" t="s">
        <v>310</v>
      </c>
      <c r="B259" s="62"/>
      <c r="C259" s="62"/>
      <c r="D259" s="62"/>
      <c r="E259" s="62"/>
      <c r="F259" s="62"/>
      <c r="G259" s="62"/>
      <c r="H259" s="63">
        <f>SUM(AC179:AC258)</f>
        <v>113858.25</v>
      </c>
      <c r="I259" s="64"/>
      <c r="J259" s="63">
        <f>SUM(AD179:AD258)</f>
        <v>1025597.8899999999</v>
      </c>
      <c r="K259" s="64"/>
    </row>
    <row r="260" spans="1:43" s="9" customFormat="1" hidden="1" x14ac:dyDescent="0.2">
      <c r="A260" s="9" t="s">
        <v>311</v>
      </c>
      <c r="H260" s="9">
        <f>SUM(AE179:AE259)</f>
        <v>0</v>
      </c>
      <c r="J260" s="9">
        <f>SUM(AF179:AF259)</f>
        <v>0</v>
      </c>
    </row>
    <row r="261" spans="1:43" s="9" customFormat="1" hidden="1" x14ac:dyDescent="0.2"/>
    <row r="262" spans="1:43" s="9" customFormat="1" hidden="1" x14ac:dyDescent="0.2">
      <c r="A262" s="62" t="str">
        <f>CONCATENATE("Итого по разделу: ",IF(Source!G141&lt;&gt;"Новый раздел", Source!G141, ""))</f>
        <v>Итого по разделу: Прокладка ВОЛС в коллекторе</v>
      </c>
      <c r="B262" s="62"/>
      <c r="C262" s="62"/>
      <c r="D262" s="62"/>
      <c r="E262" s="62"/>
      <c r="F262" s="62"/>
      <c r="G262" s="62"/>
      <c r="H262" s="63">
        <f>SUM(O33:O261)</f>
        <v>161607.31</v>
      </c>
      <c r="I262" s="64"/>
      <c r="J262" s="63">
        <f>SUM(P33:P261)</f>
        <v>1515425.1799999997</v>
      </c>
      <c r="K262" s="64"/>
    </row>
    <row r="263" spans="1:43" s="9" customFormat="1" hidden="1" x14ac:dyDescent="0.2">
      <c r="A263" s="62" t="s">
        <v>310</v>
      </c>
      <c r="B263" s="62"/>
      <c r="C263" s="62"/>
      <c r="D263" s="62"/>
      <c r="E263" s="62"/>
      <c r="F263" s="62"/>
      <c r="G263" s="62"/>
      <c r="H263" s="63">
        <f>SUM(AC33:AC262)</f>
        <v>113858.25</v>
      </c>
      <c r="I263" s="64"/>
      <c r="J263" s="63">
        <f>SUM(AD33:AD262)</f>
        <v>1025597.8899999999</v>
      </c>
      <c r="K263" s="64"/>
    </row>
    <row r="264" spans="1:43" s="9" customFormat="1" hidden="1" x14ac:dyDescent="0.2">
      <c r="A264" s="9" t="s">
        <v>311</v>
      </c>
      <c r="H264" s="9">
        <f>SUM(AE33:AE263)</f>
        <v>0</v>
      </c>
      <c r="J264" s="9">
        <f>SUM(AF33:AF263)</f>
        <v>0</v>
      </c>
    </row>
    <row r="265" spans="1:43" s="9" customFormat="1" x14ac:dyDescent="0.2"/>
    <row r="266" spans="1:43" ht="15" x14ac:dyDescent="0.25">
      <c r="A266" s="25" t="str">
        <f>CONCATENATE("Итого по локальной смете: ",IF(Source!G171&lt;&gt;"Новая локальная смета", Source!G171, ""))</f>
        <v>Итого по локальной смете: КЛ в коллекторах от РП 60206 до ТП-новая</v>
      </c>
      <c r="B266" s="25"/>
      <c r="C266" s="25"/>
      <c r="D266" s="25"/>
      <c r="E266" s="25"/>
      <c r="F266" s="25"/>
      <c r="G266" s="25"/>
      <c r="H266" s="24">
        <f>SUM(O27:O265)</f>
        <v>161607.31</v>
      </c>
      <c r="I266" s="23"/>
      <c r="J266" s="24">
        <f>SUM(P27:P265)</f>
        <v>1515425.1799999997</v>
      </c>
      <c r="K266" s="23"/>
      <c r="AQ266" s="27" t="str">
        <f>CONCATENATE("Итого по локальной смете: ",IF(Source!G171&lt;&gt;"Новая локальная смета", Source!G171, ""))</f>
        <v>Итого по локальной смете: КЛ в коллекторах от РП 60206 до ТП-новая</v>
      </c>
    </row>
    <row r="267" spans="1:43" ht="0.75" customHeight="1" x14ac:dyDescent="0.25">
      <c r="A267" s="25" t="s">
        <v>310</v>
      </c>
      <c r="B267" s="25"/>
      <c r="C267" s="25"/>
      <c r="D267" s="25"/>
      <c r="E267" s="25"/>
      <c r="F267" s="25"/>
      <c r="G267" s="25"/>
      <c r="H267" s="24">
        <f>SUM(AC27:AC266)</f>
        <v>113858.25</v>
      </c>
      <c r="I267" s="23"/>
      <c r="J267" s="24">
        <f>SUM(AD27:AD266)</f>
        <v>1025597.8899999999</v>
      </c>
      <c r="K267" s="23"/>
    </row>
    <row r="268" spans="1:43" hidden="1" x14ac:dyDescent="0.2">
      <c r="A268" t="s">
        <v>311</v>
      </c>
      <c r="H268">
        <f>SUM(AE27:AE267)</f>
        <v>0</v>
      </c>
      <c r="J268">
        <f>SUM(AF27:AF267)</f>
        <v>0</v>
      </c>
    </row>
    <row r="269" spans="1:43" hidden="1" x14ac:dyDescent="0.2"/>
    <row r="270" spans="1:43" ht="15" hidden="1" x14ac:dyDescent="0.25">
      <c r="A270" s="25" t="str">
        <f>CONCATENATE("Итого по смете: ",IF(Source!G201&lt;&gt;"Новый объект", Source!G201, ""))</f>
        <v>Итого по смете: 02-01-07 КЛ в коллекторах от РП 60206 до ТП-новая (ВОЛС) корр.3</v>
      </c>
      <c r="B270" s="25"/>
      <c r="C270" s="25"/>
      <c r="D270" s="25"/>
      <c r="E270" s="25"/>
      <c r="F270" s="25"/>
      <c r="G270" s="25"/>
      <c r="H270" s="24">
        <f>SUM(O1:O269)</f>
        <v>161607.31</v>
      </c>
      <c r="I270" s="23"/>
      <c r="J270" s="24">
        <f>SUM(P1:P269)</f>
        <v>1515425.1799999997</v>
      </c>
      <c r="K270" s="23"/>
      <c r="AQ270" s="27" t="str">
        <f>CONCATENATE("Итого по смете: ",IF(Source!G201&lt;&gt;"Новый объект", Source!G201, ""))</f>
        <v>Итого по смете: 02-01-07 КЛ в коллекторах от РП 60206 до ТП-новая (ВОЛС) корр.3</v>
      </c>
    </row>
    <row r="271" spans="1:43" ht="15" hidden="1" x14ac:dyDescent="0.25">
      <c r="A271" s="25" t="s">
        <v>310</v>
      </c>
      <c r="B271" s="25"/>
      <c r="C271" s="25"/>
      <c r="D271" s="25"/>
      <c r="E271" s="25"/>
      <c r="F271" s="25"/>
      <c r="G271" s="25"/>
      <c r="H271" s="24">
        <f>SUM(AC1:AC270)</f>
        <v>113858.25</v>
      </c>
      <c r="I271" s="23"/>
      <c r="J271" s="24">
        <f>SUM(AD1:AD270)</f>
        <v>1025597.8899999999</v>
      </c>
      <c r="K271" s="23"/>
    </row>
    <row r="272" spans="1:43" hidden="1" x14ac:dyDescent="0.2">
      <c r="A272" t="s">
        <v>311</v>
      </c>
      <c r="H272">
        <f>SUM(AE1:AE271)</f>
        <v>0</v>
      </c>
      <c r="J272">
        <f>SUM(AF1:AF271)</f>
        <v>0</v>
      </c>
    </row>
    <row r="275" spans="1:11" ht="14.25" x14ac:dyDescent="0.2">
      <c r="A275" s="28" t="s">
        <v>317</v>
      </c>
      <c r="B275" s="28"/>
      <c r="C275" s="29" t="str">
        <f>IF(Source!AC12&lt;&gt;"", Source!AC12," ")</f>
        <v xml:space="preserve"> </v>
      </c>
      <c r="D275" s="29"/>
      <c r="E275" s="29"/>
      <c r="F275" s="29"/>
      <c r="G275" s="29"/>
      <c r="H275" s="17" t="str">
        <f>IF(Source!AB12&lt;&gt;"", Source!AB12," ")</f>
        <v xml:space="preserve"> </v>
      </c>
      <c r="I275" s="17"/>
      <c r="J275" s="17"/>
      <c r="K275" s="17"/>
    </row>
    <row r="276" spans="1:11" ht="14.25" x14ac:dyDescent="0.2">
      <c r="A276" s="11"/>
      <c r="B276" s="11"/>
      <c r="C276" s="13" t="s">
        <v>318</v>
      </c>
      <c r="D276" s="13"/>
      <c r="E276" s="13"/>
      <c r="F276" s="13"/>
      <c r="G276" s="13"/>
      <c r="H276" s="11"/>
      <c r="I276" s="11"/>
      <c r="J276" s="11"/>
      <c r="K276" s="11"/>
    </row>
    <row r="277" spans="1:11" ht="14.25" x14ac:dyDescent="0.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</row>
    <row r="278" spans="1:11" ht="14.25" x14ac:dyDescent="0.2">
      <c r="A278" s="28" t="s">
        <v>319</v>
      </c>
      <c r="B278" s="28"/>
      <c r="C278" s="29" t="str">
        <f>IF(Source!AE12&lt;&gt;"", Source!AE12," ")</f>
        <v xml:space="preserve"> </v>
      </c>
      <c r="D278" s="29"/>
      <c r="E278" s="29"/>
      <c r="F278" s="29"/>
      <c r="G278" s="29"/>
      <c r="H278" s="17" t="str">
        <f>IF(Source!AD12&lt;&gt;"", Source!AD12," ")</f>
        <v xml:space="preserve"> </v>
      </c>
      <c r="I278" s="17"/>
      <c r="J278" s="17"/>
      <c r="K278" s="17"/>
    </row>
    <row r="279" spans="1:11" ht="14.25" x14ac:dyDescent="0.2">
      <c r="A279" s="11"/>
      <c r="B279" s="11"/>
      <c r="C279" s="13" t="s">
        <v>318</v>
      </c>
      <c r="D279" s="13"/>
      <c r="E279" s="13"/>
      <c r="F279" s="13"/>
      <c r="G279" s="13"/>
      <c r="H279" s="11"/>
      <c r="I279" s="11"/>
      <c r="J279" s="11"/>
      <c r="K279" s="11"/>
    </row>
  </sheetData>
  <mergeCells count="119">
    <mergeCell ref="A275:B275"/>
    <mergeCell ref="H275:K275"/>
    <mergeCell ref="C276:G276"/>
    <mergeCell ref="A278:B278"/>
    <mergeCell ref="H278:K278"/>
    <mergeCell ref="C279:G279"/>
    <mergeCell ref="J270:K270"/>
    <mergeCell ref="H270:I270"/>
    <mergeCell ref="A270:G270"/>
    <mergeCell ref="J271:K271"/>
    <mergeCell ref="H271:I271"/>
    <mergeCell ref="A271:G271"/>
    <mergeCell ref="J266:K266"/>
    <mergeCell ref="H266:I266"/>
    <mergeCell ref="A266:G266"/>
    <mergeCell ref="J267:K267"/>
    <mergeCell ref="H267:I267"/>
    <mergeCell ref="A267:G267"/>
    <mergeCell ref="J262:K262"/>
    <mergeCell ref="H262:I262"/>
    <mergeCell ref="A262:G262"/>
    <mergeCell ref="J263:K263"/>
    <mergeCell ref="H263:I263"/>
    <mergeCell ref="A263:G263"/>
    <mergeCell ref="J258:K258"/>
    <mergeCell ref="H258:I258"/>
    <mergeCell ref="A258:G258"/>
    <mergeCell ref="J259:K259"/>
    <mergeCell ref="H259:I259"/>
    <mergeCell ref="A259:G259"/>
    <mergeCell ref="H243:I243"/>
    <mergeCell ref="J243:K243"/>
    <mergeCell ref="H251:I251"/>
    <mergeCell ref="J251:K251"/>
    <mergeCell ref="H255:I255"/>
    <mergeCell ref="J255:K255"/>
    <mergeCell ref="H225:I225"/>
    <mergeCell ref="J225:K225"/>
    <mergeCell ref="H237:I237"/>
    <mergeCell ref="J237:K237"/>
    <mergeCell ref="H240:I240"/>
    <mergeCell ref="J240:K240"/>
    <mergeCell ref="H202:I202"/>
    <mergeCell ref="J202:K202"/>
    <mergeCell ref="H213:I213"/>
    <mergeCell ref="J213:K213"/>
    <mergeCell ref="H222:I222"/>
    <mergeCell ref="J222:K222"/>
    <mergeCell ref="A175:G175"/>
    <mergeCell ref="A179:K179"/>
    <mergeCell ref="H186:I186"/>
    <mergeCell ref="J186:K186"/>
    <mergeCell ref="H194:I194"/>
    <mergeCell ref="J194:K194"/>
    <mergeCell ref="H161:I161"/>
    <mergeCell ref="J161:K161"/>
    <mergeCell ref="H172:I172"/>
    <mergeCell ref="J172:K172"/>
    <mergeCell ref="J175:K175"/>
    <mergeCell ref="H175:I175"/>
    <mergeCell ref="H145:I145"/>
    <mergeCell ref="J145:K145"/>
    <mergeCell ref="H148:I148"/>
    <mergeCell ref="J148:K148"/>
    <mergeCell ref="H151:I151"/>
    <mergeCell ref="J151:K151"/>
    <mergeCell ref="H118:I118"/>
    <mergeCell ref="J118:K118"/>
    <mergeCell ref="H130:I130"/>
    <mergeCell ref="J130:K130"/>
    <mergeCell ref="H142:I142"/>
    <mergeCell ref="J142:K142"/>
    <mergeCell ref="H109:I109"/>
    <mergeCell ref="J109:K109"/>
    <mergeCell ref="H112:I112"/>
    <mergeCell ref="J112:K112"/>
    <mergeCell ref="H115:I115"/>
    <mergeCell ref="J115:K115"/>
    <mergeCell ref="H86:I86"/>
    <mergeCell ref="J86:K86"/>
    <mergeCell ref="H96:I96"/>
    <mergeCell ref="J96:K96"/>
    <mergeCell ref="H99:I99"/>
    <mergeCell ref="J99:K99"/>
    <mergeCell ref="H70:I70"/>
    <mergeCell ref="J70:K70"/>
    <mergeCell ref="H73:I73"/>
    <mergeCell ref="J73:K73"/>
    <mergeCell ref="H83:I83"/>
    <mergeCell ref="J83:K83"/>
    <mergeCell ref="H55:I55"/>
    <mergeCell ref="J55:K55"/>
    <mergeCell ref="H58:I58"/>
    <mergeCell ref="J58:K58"/>
    <mergeCell ref="H67:I67"/>
    <mergeCell ref="J67:K67"/>
    <mergeCell ref="A33:K33"/>
    <mergeCell ref="A35:K35"/>
    <mergeCell ref="H45:I45"/>
    <mergeCell ref="J45:K45"/>
    <mergeCell ref="B29:K29"/>
    <mergeCell ref="B31:K31"/>
    <mergeCell ref="E18:H18"/>
    <mergeCell ref="E19:H19"/>
    <mergeCell ref="E20:H20"/>
    <mergeCell ref="A23:K23"/>
    <mergeCell ref="J2:K2"/>
    <mergeCell ref="A27:K27"/>
    <mergeCell ref="E12:H12"/>
    <mergeCell ref="E13:H13"/>
    <mergeCell ref="E14:H14"/>
    <mergeCell ref="E15:H15"/>
    <mergeCell ref="E16:H16"/>
    <mergeCell ref="E17:H17"/>
    <mergeCell ref="A3:K3"/>
    <mergeCell ref="A4:K4"/>
    <mergeCell ref="A6:K6"/>
    <mergeCell ref="A8:K8"/>
    <mergeCell ref="A9:K9"/>
  </mergeCells>
  <pageMargins left="0.4" right="0.2" top="0.2" bottom="0.4" header="0.2" footer="0.2"/>
  <pageSetup paperSize="9" scale="65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0C87E-D962-4D4D-8098-668060A27704}">
  <dimension ref="A1:IK239"/>
  <sheetViews>
    <sheetView workbookViewId="0">
      <selection activeCell="A235" sqref="A235:AX235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65736</v>
      </c>
      <c r="M1">
        <v>10</v>
      </c>
      <c r="N1">
        <v>11</v>
      </c>
      <c r="O1">
        <v>9</v>
      </c>
      <c r="P1">
        <v>0</v>
      </c>
      <c r="Q1">
        <v>1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/>
      <c r="G4" s="1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234</v>
      </c>
      <c r="C12" s="1">
        <v>0</v>
      </c>
      <c r="D12" s="1">
        <f>ROW(A201)</f>
        <v>201</v>
      </c>
      <c r="E12" s="1">
        <v>0</v>
      </c>
      <c r="F12" s="1" t="s">
        <v>5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8200</v>
      </c>
      <c r="CI12" s="1" t="s">
        <v>3</v>
      </c>
      <c r="CJ12" s="1" t="s">
        <v>3</v>
      </c>
      <c r="CK12" s="1">
        <v>71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41660</v>
      </c>
      <c r="CT12" s="1">
        <v>1</v>
      </c>
      <c r="CU12" s="1">
        <v>71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B201</f>
        <v>234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02-01-07 (1 этап)</v>
      </c>
      <c r="G18" s="2" t="str">
        <f t="shared" si="0"/>
        <v>02-01-07 КЛ в коллекторах от РП 60206 до ТП-новая (ВОЛС) корр.3</v>
      </c>
      <c r="H18" s="2"/>
      <c r="I18" s="2"/>
      <c r="J18" s="2"/>
      <c r="K18" s="2"/>
      <c r="L18" s="2"/>
      <c r="M18" s="2"/>
      <c r="N18" s="2"/>
      <c r="O18" s="2">
        <f t="shared" ref="O18:AT18" si="1">O201</f>
        <v>559849.4</v>
      </c>
      <c r="P18" s="2">
        <f t="shared" si="1"/>
        <v>382873.2</v>
      </c>
      <c r="Q18" s="2">
        <f t="shared" si="1"/>
        <v>3865.35</v>
      </c>
      <c r="R18" s="2">
        <f t="shared" si="1"/>
        <v>1501.75</v>
      </c>
      <c r="S18" s="2">
        <f t="shared" si="1"/>
        <v>173110.85</v>
      </c>
      <c r="T18" s="2">
        <f t="shared" si="1"/>
        <v>0</v>
      </c>
      <c r="U18" s="2">
        <f t="shared" si="1"/>
        <v>442.14964653908402</v>
      </c>
      <c r="V18" s="2">
        <f t="shared" si="1"/>
        <v>0</v>
      </c>
      <c r="W18" s="2">
        <f t="shared" si="1"/>
        <v>0</v>
      </c>
      <c r="X18" s="2">
        <f t="shared" si="1"/>
        <v>150246.95000000001</v>
      </c>
      <c r="Y18" s="2">
        <f t="shared" si="1"/>
        <v>71113.289999999994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1515425.18</v>
      </c>
      <c r="AS18" s="2">
        <f t="shared" si="1"/>
        <v>380581.26</v>
      </c>
      <c r="AT18" s="2">
        <f t="shared" si="1"/>
        <v>1134843.92</v>
      </c>
      <c r="AU18" s="2">
        <f t="shared" ref="AU18:BZ18" si="2">AU201</f>
        <v>0</v>
      </c>
      <c r="AV18" s="2">
        <f t="shared" si="2"/>
        <v>382873.2</v>
      </c>
      <c r="AW18" s="2">
        <f t="shared" si="2"/>
        <v>382873.2</v>
      </c>
      <c r="AX18" s="2">
        <f t="shared" si="2"/>
        <v>0</v>
      </c>
      <c r="AY18" s="2">
        <f t="shared" si="2"/>
        <v>382873.2</v>
      </c>
      <c r="AZ18" s="2">
        <f t="shared" si="2"/>
        <v>0</v>
      </c>
      <c r="BA18" s="2">
        <f t="shared" si="2"/>
        <v>0</v>
      </c>
      <c r="BB18" s="2">
        <f t="shared" si="2"/>
        <v>241730.98</v>
      </c>
      <c r="BC18" s="2">
        <f t="shared" si="2"/>
        <v>490081.75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CA201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DG201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EM201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FS201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ROW(A171)</f>
        <v>171</v>
      </c>
      <c r="E20" s="1"/>
      <c r="F20" s="1" t="s">
        <v>3</v>
      </c>
      <c r="G20" s="1" t="s">
        <v>15</v>
      </c>
      <c r="H20" s="1" t="s">
        <v>3</v>
      </c>
      <c r="I20" s="1">
        <v>0</v>
      </c>
      <c r="J20" s="1" t="s">
        <v>3</v>
      </c>
      <c r="K20" s="1">
        <v>-1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B171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КЛ в коллекторах от РП 60206 до ТП-новая</v>
      </c>
      <c r="H22" s="2"/>
      <c r="I22" s="2"/>
      <c r="J22" s="2"/>
      <c r="K22" s="2"/>
      <c r="L22" s="2"/>
      <c r="M22" s="2"/>
      <c r="N22" s="2"/>
      <c r="O22" s="2">
        <f t="shared" ref="O22:AT22" si="8">O171</f>
        <v>559849.4</v>
      </c>
      <c r="P22" s="2">
        <f t="shared" si="8"/>
        <v>382873.2</v>
      </c>
      <c r="Q22" s="2">
        <f t="shared" si="8"/>
        <v>3865.35</v>
      </c>
      <c r="R22" s="2">
        <f t="shared" si="8"/>
        <v>1501.75</v>
      </c>
      <c r="S22" s="2">
        <f t="shared" si="8"/>
        <v>173110.85</v>
      </c>
      <c r="T22" s="2">
        <f t="shared" si="8"/>
        <v>0</v>
      </c>
      <c r="U22" s="2">
        <f t="shared" si="8"/>
        <v>442.14964653908402</v>
      </c>
      <c r="V22" s="2">
        <f t="shared" si="8"/>
        <v>0</v>
      </c>
      <c r="W22" s="2">
        <f t="shared" si="8"/>
        <v>0</v>
      </c>
      <c r="X22" s="2">
        <f t="shared" si="8"/>
        <v>150246.95000000001</v>
      </c>
      <c r="Y22" s="2">
        <f t="shared" si="8"/>
        <v>71113.289999999994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1515425.18</v>
      </c>
      <c r="AS22" s="2">
        <f t="shared" si="8"/>
        <v>380581.26</v>
      </c>
      <c r="AT22" s="2">
        <f t="shared" si="8"/>
        <v>1134843.92</v>
      </c>
      <c r="AU22" s="2">
        <f t="shared" ref="AU22:BZ22" si="9">AU171</f>
        <v>0</v>
      </c>
      <c r="AV22" s="2">
        <f t="shared" si="9"/>
        <v>382873.2</v>
      </c>
      <c r="AW22" s="2">
        <f t="shared" si="9"/>
        <v>382873.2</v>
      </c>
      <c r="AX22" s="2">
        <f t="shared" si="9"/>
        <v>0</v>
      </c>
      <c r="AY22" s="2">
        <f t="shared" si="9"/>
        <v>382873.2</v>
      </c>
      <c r="AZ22" s="2">
        <f t="shared" si="9"/>
        <v>0</v>
      </c>
      <c r="BA22" s="2">
        <f t="shared" si="9"/>
        <v>0</v>
      </c>
      <c r="BB22" s="2">
        <f t="shared" si="9"/>
        <v>241730.98</v>
      </c>
      <c r="BC22" s="2">
        <f t="shared" si="9"/>
        <v>490081.75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CA171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DG171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EM171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FS171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>
        <v>19</v>
      </c>
      <c r="B24">
        <v>1</v>
      </c>
      <c r="F24" t="s">
        <v>3</v>
      </c>
      <c r="G24" t="s">
        <v>263</v>
      </c>
      <c r="H24" t="s">
        <v>3</v>
      </c>
      <c r="AA24">
        <v>1</v>
      </c>
      <c r="IK24">
        <v>0</v>
      </c>
    </row>
    <row r="25" spans="1:245" x14ac:dyDescent="0.2">
      <c r="A25">
        <v>19</v>
      </c>
      <c r="B25">
        <v>1</v>
      </c>
      <c r="F25" t="s">
        <v>3</v>
      </c>
      <c r="G25" t="s">
        <v>264</v>
      </c>
      <c r="H25" t="s">
        <v>3</v>
      </c>
      <c r="AA25">
        <v>1</v>
      </c>
      <c r="IK25">
        <v>0</v>
      </c>
    </row>
    <row r="27" spans="1:245" x14ac:dyDescent="0.2">
      <c r="A27" s="1">
        <v>4</v>
      </c>
      <c r="B27" s="1">
        <v>1</v>
      </c>
      <c r="C27" s="1"/>
      <c r="D27" s="1">
        <f>ROW(A141)</f>
        <v>141</v>
      </c>
      <c r="E27" s="1"/>
      <c r="F27" s="1" t="s">
        <v>17</v>
      </c>
      <c r="G27" s="1" t="s">
        <v>18</v>
      </c>
      <c r="H27" s="1" t="s">
        <v>3</v>
      </c>
      <c r="I27" s="1">
        <v>0</v>
      </c>
      <c r="J27" s="1"/>
      <c r="K27" s="1">
        <v>0</v>
      </c>
      <c r="L27" s="1"/>
      <c r="M27" s="1" t="s">
        <v>3</v>
      </c>
      <c r="N27" s="1"/>
      <c r="O27" s="1"/>
      <c r="P27" s="1"/>
      <c r="Q27" s="1"/>
      <c r="R27" s="1"/>
      <c r="S27" s="1">
        <v>0</v>
      </c>
      <c r="T27" s="1"/>
      <c r="U27" s="1" t="s">
        <v>3</v>
      </c>
      <c r="V27" s="1">
        <v>0</v>
      </c>
      <c r="W27" s="1"/>
      <c r="X27" s="1"/>
      <c r="Y27" s="1"/>
      <c r="Z27" s="1"/>
      <c r="AA27" s="1"/>
      <c r="AB27" s="1" t="s">
        <v>3</v>
      </c>
      <c r="AC27" s="1" t="s">
        <v>3</v>
      </c>
      <c r="AD27" s="1" t="s">
        <v>3</v>
      </c>
      <c r="AE27" s="1" t="s">
        <v>3</v>
      </c>
      <c r="AF27" s="1" t="s">
        <v>3</v>
      </c>
      <c r="AG27" s="1" t="s">
        <v>3</v>
      </c>
      <c r="AH27" s="1"/>
      <c r="AI27" s="1"/>
      <c r="AJ27" s="1"/>
      <c r="AK27" s="1"/>
      <c r="AL27" s="1"/>
      <c r="AM27" s="1"/>
      <c r="AN27" s="1"/>
      <c r="AO27" s="1"/>
      <c r="AP27" s="1" t="s">
        <v>3</v>
      </c>
      <c r="AQ27" s="1" t="s">
        <v>3</v>
      </c>
      <c r="AR27" s="1" t="s">
        <v>3</v>
      </c>
      <c r="AS27" s="1"/>
      <c r="AT27" s="1"/>
      <c r="AU27" s="1"/>
      <c r="AV27" s="1"/>
      <c r="AW27" s="1"/>
      <c r="AX27" s="1"/>
      <c r="AY27" s="1"/>
      <c r="AZ27" s="1" t="s">
        <v>3</v>
      </c>
      <c r="BA27" s="1"/>
      <c r="BB27" s="1" t="s">
        <v>3</v>
      </c>
      <c r="BC27" s="1" t="s">
        <v>3</v>
      </c>
      <c r="BD27" s="1" t="s">
        <v>3</v>
      </c>
      <c r="BE27" s="1" t="s">
        <v>3</v>
      </c>
      <c r="BF27" s="1" t="s">
        <v>3</v>
      </c>
      <c r="BG27" s="1" t="s">
        <v>3</v>
      </c>
      <c r="BH27" s="1" t="s">
        <v>3</v>
      </c>
      <c r="BI27" s="1" t="s">
        <v>3</v>
      </c>
      <c r="BJ27" s="1" t="s">
        <v>3</v>
      </c>
      <c r="BK27" s="1" t="s">
        <v>3</v>
      </c>
      <c r="BL27" s="1" t="s">
        <v>3</v>
      </c>
      <c r="BM27" s="1" t="s">
        <v>3</v>
      </c>
      <c r="BN27" s="1" t="s">
        <v>3</v>
      </c>
      <c r="BO27" s="1" t="s">
        <v>3</v>
      </c>
      <c r="BP27" s="1" t="s">
        <v>3</v>
      </c>
      <c r="BQ27" s="1"/>
      <c r="BR27" s="1"/>
      <c r="BS27" s="1"/>
      <c r="BT27" s="1"/>
      <c r="BU27" s="1"/>
      <c r="BV27" s="1"/>
      <c r="BW27" s="1"/>
      <c r="BX27" s="1">
        <v>0</v>
      </c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>
        <v>0</v>
      </c>
    </row>
    <row r="29" spans="1:245" x14ac:dyDescent="0.2">
      <c r="A29" s="2">
        <v>52</v>
      </c>
      <c r="B29" s="2">
        <f t="shared" ref="B29:G29" si="14">B141</f>
        <v>1</v>
      </c>
      <c r="C29" s="2">
        <f t="shared" si="14"/>
        <v>4</v>
      </c>
      <c r="D29" s="2">
        <f t="shared" si="14"/>
        <v>27</v>
      </c>
      <c r="E29" s="2">
        <f t="shared" si="14"/>
        <v>0</v>
      </c>
      <c r="F29" s="2" t="str">
        <f t="shared" si="14"/>
        <v>Новый раздел</v>
      </c>
      <c r="G29" s="2" t="str">
        <f t="shared" si="14"/>
        <v>Прокладка ВОЛС в коллекторе</v>
      </c>
      <c r="H29" s="2"/>
      <c r="I29" s="2"/>
      <c r="J29" s="2"/>
      <c r="K29" s="2"/>
      <c r="L29" s="2"/>
      <c r="M29" s="2"/>
      <c r="N29" s="2"/>
      <c r="O29" s="2">
        <f t="shared" ref="O29:AT29" si="15">O141</f>
        <v>559849.4</v>
      </c>
      <c r="P29" s="2">
        <f t="shared" si="15"/>
        <v>382873.2</v>
      </c>
      <c r="Q29" s="2">
        <f t="shared" si="15"/>
        <v>3865.35</v>
      </c>
      <c r="R29" s="2">
        <f t="shared" si="15"/>
        <v>1501.75</v>
      </c>
      <c r="S29" s="2">
        <f t="shared" si="15"/>
        <v>173110.85</v>
      </c>
      <c r="T29" s="2">
        <f t="shared" si="15"/>
        <v>0</v>
      </c>
      <c r="U29" s="2">
        <f t="shared" si="15"/>
        <v>442.14964653908402</v>
      </c>
      <c r="V29" s="2">
        <f t="shared" si="15"/>
        <v>0</v>
      </c>
      <c r="W29" s="2">
        <f t="shared" si="15"/>
        <v>0</v>
      </c>
      <c r="X29" s="2">
        <f t="shared" si="15"/>
        <v>150246.95000000001</v>
      </c>
      <c r="Y29" s="2">
        <f t="shared" si="15"/>
        <v>71113.289999999994</v>
      </c>
      <c r="Z29" s="2">
        <f t="shared" si="15"/>
        <v>0</v>
      </c>
      <c r="AA29" s="2">
        <f t="shared" si="15"/>
        <v>0</v>
      </c>
      <c r="AB29" s="2">
        <f t="shared" si="15"/>
        <v>0</v>
      </c>
      <c r="AC29" s="2">
        <f t="shared" si="15"/>
        <v>0</v>
      </c>
      <c r="AD29" s="2">
        <f t="shared" si="15"/>
        <v>0</v>
      </c>
      <c r="AE29" s="2">
        <f t="shared" si="15"/>
        <v>0</v>
      </c>
      <c r="AF29" s="2">
        <f t="shared" si="15"/>
        <v>0</v>
      </c>
      <c r="AG29" s="2">
        <f t="shared" si="15"/>
        <v>0</v>
      </c>
      <c r="AH29" s="2">
        <f t="shared" si="15"/>
        <v>0</v>
      </c>
      <c r="AI29" s="2">
        <f t="shared" si="15"/>
        <v>0</v>
      </c>
      <c r="AJ29" s="2">
        <f t="shared" si="15"/>
        <v>0</v>
      </c>
      <c r="AK29" s="2">
        <f t="shared" si="15"/>
        <v>0</v>
      </c>
      <c r="AL29" s="2">
        <f t="shared" si="15"/>
        <v>0</v>
      </c>
      <c r="AM29" s="2">
        <f t="shared" si="15"/>
        <v>0</v>
      </c>
      <c r="AN29" s="2">
        <f t="shared" si="15"/>
        <v>0</v>
      </c>
      <c r="AO29" s="2">
        <f t="shared" si="15"/>
        <v>0</v>
      </c>
      <c r="AP29" s="2">
        <f t="shared" si="15"/>
        <v>0</v>
      </c>
      <c r="AQ29" s="2">
        <f t="shared" si="15"/>
        <v>0</v>
      </c>
      <c r="AR29" s="2">
        <f t="shared" si="15"/>
        <v>1515425.18</v>
      </c>
      <c r="AS29" s="2">
        <f t="shared" si="15"/>
        <v>380581.26</v>
      </c>
      <c r="AT29" s="2">
        <f t="shared" si="15"/>
        <v>1134843.92</v>
      </c>
      <c r="AU29" s="2">
        <f t="shared" ref="AU29:BZ29" si="16">AU141</f>
        <v>0</v>
      </c>
      <c r="AV29" s="2">
        <f t="shared" si="16"/>
        <v>382873.2</v>
      </c>
      <c r="AW29" s="2">
        <f t="shared" si="16"/>
        <v>382873.2</v>
      </c>
      <c r="AX29" s="2">
        <f t="shared" si="16"/>
        <v>0</v>
      </c>
      <c r="AY29" s="2">
        <f t="shared" si="16"/>
        <v>382873.2</v>
      </c>
      <c r="AZ29" s="2">
        <f t="shared" si="16"/>
        <v>0</v>
      </c>
      <c r="BA29" s="2">
        <f t="shared" si="16"/>
        <v>0</v>
      </c>
      <c r="BB29" s="2">
        <f t="shared" si="16"/>
        <v>241730.98</v>
      </c>
      <c r="BC29" s="2">
        <f t="shared" si="16"/>
        <v>490081.75</v>
      </c>
      <c r="BD29" s="2">
        <f t="shared" si="16"/>
        <v>0</v>
      </c>
      <c r="BE29" s="2">
        <f t="shared" si="16"/>
        <v>0</v>
      </c>
      <c r="BF29" s="2">
        <f t="shared" si="16"/>
        <v>0</v>
      </c>
      <c r="BG29" s="2">
        <f t="shared" si="16"/>
        <v>0</v>
      </c>
      <c r="BH29" s="2">
        <f t="shared" si="16"/>
        <v>0</v>
      </c>
      <c r="BI29" s="2">
        <f t="shared" si="16"/>
        <v>0</v>
      </c>
      <c r="BJ29" s="2">
        <f t="shared" si="16"/>
        <v>0</v>
      </c>
      <c r="BK29" s="2">
        <f t="shared" si="16"/>
        <v>0</v>
      </c>
      <c r="BL29" s="2">
        <f t="shared" si="16"/>
        <v>0</v>
      </c>
      <c r="BM29" s="2">
        <f t="shared" si="16"/>
        <v>0</v>
      </c>
      <c r="BN29" s="2">
        <f t="shared" si="16"/>
        <v>0</v>
      </c>
      <c r="BO29" s="2">
        <f t="shared" si="16"/>
        <v>0</v>
      </c>
      <c r="BP29" s="2">
        <f t="shared" si="16"/>
        <v>0</v>
      </c>
      <c r="BQ29" s="2">
        <f t="shared" si="16"/>
        <v>0</v>
      </c>
      <c r="BR29" s="2">
        <f t="shared" si="16"/>
        <v>0</v>
      </c>
      <c r="BS29" s="2">
        <f t="shared" si="16"/>
        <v>0</v>
      </c>
      <c r="BT29" s="2">
        <f t="shared" si="16"/>
        <v>0</v>
      </c>
      <c r="BU29" s="2">
        <f t="shared" si="16"/>
        <v>0</v>
      </c>
      <c r="BV29" s="2">
        <f t="shared" si="16"/>
        <v>0</v>
      </c>
      <c r="BW29" s="2">
        <f t="shared" si="16"/>
        <v>0</v>
      </c>
      <c r="BX29" s="2">
        <f t="shared" si="16"/>
        <v>0</v>
      </c>
      <c r="BY29" s="2">
        <f t="shared" si="16"/>
        <v>0</v>
      </c>
      <c r="BZ29" s="2">
        <f t="shared" si="16"/>
        <v>0</v>
      </c>
      <c r="CA29" s="2">
        <f t="shared" ref="CA29:DF29" si="17">CA141</f>
        <v>0</v>
      </c>
      <c r="CB29" s="2">
        <f t="shared" si="17"/>
        <v>0</v>
      </c>
      <c r="CC29" s="2">
        <f t="shared" si="17"/>
        <v>0</v>
      </c>
      <c r="CD29" s="2">
        <f t="shared" si="17"/>
        <v>0</v>
      </c>
      <c r="CE29" s="2">
        <f t="shared" si="17"/>
        <v>0</v>
      </c>
      <c r="CF29" s="2">
        <f t="shared" si="17"/>
        <v>0</v>
      </c>
      <c r="CG29" s="2">
        <f t="shared" si="17"/>
        <v>0</v>
      </c>
      <c r="CH29" s="2">
        <f t="shared" si="17"/>
        <v>0</v>
      </c>
      <c r="CI29" s="2">
        <f t="shared" si="17"/>
        <v>0</v>
      </c>
      <c r="CJ29" s="2">
        <f t="shared" si="17"/>
        <v>0</v>
      </c>
      <c r="CK29" s="2">
        <f t="shared" si="17"/>
        <v>0</v>
      </c>
      <c r="CL29" s="2">
        <f t="shared" si="17"/>
        <v>0</v>
      </c>
      <c r="CM29" s="2">
        <f t="shared" si="17"/>
        <v>0</v>
      </c>
      <c r="CN29" s="2">
        <f t="shared" si="17"/>
        <v>0</v>
      </c>
      <c r="CO29" s="2">
        <f t="shared" si="17"/>
        <v>0</v>
      </c>
      <c r="CP29" s="2">
        <f t="shared" si="17"/>
        <v>0</v>
      </c>
      <c r="CQ29" s="2">
        <f t="shared" si="17"/>
        <v>0</v>
      </c>
      <c r="CR29" s="2">
        <f t="shared" si="17"/>
        <v>0</v>
      </c>
      <c r="CS29" s="2">
        <f t="shared" si="17"/>
        <v>0</v>
      </c>
      <c r="CT29" s="2">
        <f t="shared" si="17"/>
        <v>0</v>
      </c>
      <c r="CU29" s="2">
        <f t="shared" si="17"/>
        <v>0</v>
      </c>
      <c r="CV29" s="2">
        <f t="shared" si="17"/>
        <v>0</v>
      </c>
      <c r="CW29" s="2">
        <f t="shared" si="17"/>
        <v>0</v>
      </c>
      <c r="CX29" s="2">
        <f t="shared" si="17"/>
        <v>0</v>
      </c>
      <c r="CY29" s="2">
        <f t="shared" si="17"/>
        <v>0</v>
      </c>
      <c r="CZ29" s="2">
        <f t="shared" si="17"/>
        <v>0</v>
      </c>
      <c r="DA29" s="2">
        <f t="shared" si="17"/>
        <v>0</v>
      </c>
      <c r="DB29" s="2">
        <f t="shared" si="17"/>
        <v>0</v>
      </c>
      <c r="DC29" s="2">
        <f t="shared" si="17"/>
        <v>0</v>
      </c>
      <c r="DD29" s="2">
        <f t="shared" si="17"/>
        <v>0</v>
      </c>
      <c r="DE29" s="2">
        <f t="shared" si="17"/>
        <v>0</v>
      </c>
      <c r="DF29" s="2">
        <f t="shared" si="17"/>
        <v>0</v>
      </c>
      <c r="DG29" s="3">
        <f t="shared" ref="DG29:EL29" si="18">DG141</f>
        <v>0</v>
      </c>
      <c r="DH29" s="3">
        <f t="shared" si="18"/>
        <v>0</v>
      </c>
      <c r="DI29" s="3">
        <f t="shared" si="18"/>
        <v>0</v>
      </c>
      <c r="DJ29" s="3">
        <f t="shared" si="18"/>
        <v>0</v>
      </c>
      <c r="DK29" s="3">
        <f t="shared" si="18"/>
        <v>0</v>
      </c>
      <c r="DL29" s="3">
        <f t="shared" si="18"/>
        <v>0</v>
      </c>
      <c r="DM29" s="3">
        <f t="shared" si="18"/>
        <v>0</v>
      </c>
      <c r="DN29" s="3">
        <f t="shared" si="18"/>
        <v>0</v>
      </c>
      <c r="DO29" s="3">
        <f t="shared" si="18"/>
        <v>0</v>
      </c>
      <c r="DP29" s="3">
        <f t="shared" si="18"/>
        <v>0</v>
      </c>
      <c r="DQ29" s="3">
        <f t="shared" si="18"/>
        <v>0</v>
      </c>
      <c r="DR29" s="3">
        <f t="shared" si="18"/>
        <v>0</v>
      </c>
      <c r="DS29" s="3">
        <f t="shared" si="18"/>
        <v>0</v>
      </c>
      <c r="DT29" s="3">
        <f t="shared" si="18"/>
        <v>0</v>
      </c>
      <c r="DU29" s="3">
        <f t="shared" si="18"/>
        <v>0</v>
      </c>
      <c r="DV29" s="3">
        <f t="shared" si="18"/>
        <v>0</v>
      </c>
      <c r="DW29" s="3">
        <f t="shared" si="18"/>
        <v>0</v>
      </c>
      <c r="DX29" s="3">
        <f t="shared" si="18"/>
        <v>0</v>
      </c>
      <c r="DY29" s="3">
        <f t="shared" si="18"/>
        <v>0</v>
      </c>
      <c r="DZ29" s="3">
        <f t="shared" si="18"/>
        <v>0</v>
      </c>
      <c r="EA29" s="3">
        <f t="shared" si="18"/>
        <v>0</v>
      </c>
      <c r="EB29" s="3">
        <f t="shared" si="18"/>
        <v>0</v>
      </c>
      <c r="EC29" s="3">
        <f t="shared" si="18"/>
        <v>0</v>
      </c>
      <c r="ED29" s="3">
        <f t="shared" si="18"/>
        <v>0</v>
      </c>
      <c r="EE29" s="3">
        <f t="shared" si="18"/>
        <v>0</v>
      </c>
      <c r="EF29" s="3">
        <f t="shared" si="18"/>
        <v>0</v>
      </c>
      <c r="EG29" s="3">
        <f t="shared" si="18"/>
        <v>0</v>
      </c>
      <c r="EH29" s="3">
        <f t="shared" si="18"/>
        <v>0</v>
      </c>
      <c r="EI29" s="3">
        <f t="shared" si="18"/>
        <v>0</v>
      </c>
      <c r="EJ29" s="3">
        <f t="shared" si="18"/>
        <v>0</v>
      </c>
      <c r="EK29" s="3">
        <f t="shared" si="18"/>
        <v>0</v>
      </c>
      <c r="EL29" s="3">
        <f t="shared" si="18"/>
        <v>0</v>
      </c>
      <c r="EM29" s="3">
        <f t="shared" ref="EM29:FR29" si="19">EM141</f>
        <v>0</v>
      </c>
      <c r="EN29" s="3">
        <f t="shared" si="19"/>
        <v>0</v>
      </c>
      <c r="EO29" s="3">
        <f t="shared" si="19"/>
        <v>0</v>
      </c>
      <c r="EP29" s="3">
        <f t="shared" si="19"/>
        <v>0</v>
      </c>
      <c r="EQ29" s="3">
        <f t="shared" si="19"/>
        <v>0</v>
      </c>
      <c r="ER29" s="3">
        <f t="shared" si="19"/>
        <v>0</v>
      </c>
      <c r="ES29" s="3">
        <f t="shared" si="19"/>
        <v>0</v>
      </c>
      <c r="ET29" s="3">
        <f t="shared" si="19"/>
        <v>0</v>
      </c>
      <c r="EU29" s="3">
        <f t="shared" si="19"/>
        <v>0</v>
      </c>
      <c r="EV29" s="3">
        <f t="shared" si="19"/>
        <v>0</v>
      </c>
      <c r="EW29" s="3">
        <f t="shared" si="19"/>
        <v>0</v>
      </c>
      <c r="EX29" s="3">
        <f t="shared" si="19"/>
        <v>0</v>
      </c>
      <c r="EY29" s="3">
        <f t="shared" si="19"/>
        <v>0</v>
      </c>
      <c r="EZ29" s="3">
        <f t="shared" si="19"/>
        <v>0</v>
      </c>
      <c r="FA29" s="3">
        <f t="shared" si="19"/>
        <v>0</v>
      </c>
      <c r="FB29" s="3">
        <f t="shared" si="19"/>
        <v>0</v>
      </c>
      <c r="FC29" s="3">
        <f t="shared" si="19"/>
        <v>0</v>
      </c>
      <c r="FD29" s="3">
        <f t="shared" si="19"/>
        <v>0</v>
      </c>
      <c r="FE29" s="3">
        <f t="shared" si="19"/>
        <v>0</v>
      </c>
      <c r="FF29" s="3">
        <f t="shared" si="19"/>
        <v>0</v>
      </c>
      <c r="FG29" s="3">
        <f t="shared" si="19"/>
        <v>0</v>
      </c>
      <c r="FH29" s="3">
        <f t="shared" si="19"/>
        <v>0</v>
      </c>
      <c r="FI29" s="3">
        <f t="shared" si="19"/>
        <v>0</v>
      </c>
      <c r="FJ29" s="3">
        <f t="shared" si="19"/>
        <v>0</v>
      </c>
      <c r="FK29" s="3">
        <f t="shared" si="19"/>
        <v>0</v>
      </c>
      <c r="FL29" s="3">
        <f t="shared" si="19"/>
        <v>0</v>
      </c>
      <c r="FM29" s="3">
        <f t="shared" si="19"/>
        <v>0</v>
      </c>
      <c r="FN29" s="3">
        <f t="shared" si="19"/>
        <v>0</v>
      </c>
      <c r="FO29" s="3">
        <f t="shared" si="19"/>
        <v>0</v>
      </c>
      <c r="FP29" s="3">
        <f t="shared" si="19"/>
        <v>0</v>
      </c>
      <c r="FQ29" s="3">
        <f t="shared" si="19"/>
        <v>0</v>
      </c>
      <c r="FR29" s="3">
        <f t="shared" si="19"/>
        <v>0</v>
      </c>
      <c r="FS29" s="3">
        <f t="shared" ref="FS29:GX29" si="20">FS141</f>
        <v>0</v>
      </c>
      <c r="FT29" s="3">
        <f t="shared" si="20"/>
        <v>0</v>
      </c>
      <c r="FU29" s="3">
        <f t="shared" si="20"/>
        <v>0</v>
      </c>
      <c r="FV29" s="3">
        <f t="shared" si="20"/>
        <v>0</v>
      </c>
      <c r="FW29" s="3">
        <f t="shared" si="20"/>
        <v>0</v>
      </c>
      <c r="FX29" s="3">
        <f t="shared" si="20"/>
        <v>0</v>
      </c>
      <c r="FY29" s="3">
        <f t="shared" si="20"/>
        <v>0</v>
      </c>
      <c r="FZ29" s="3">
        <f t="shared" si="20"/>
        <v>0</v>
      </c>
      <c r="GA29" s="3">
        <f t="shared" si="20"/>
        <v>0</v>
      </c>
      <c r="GB29" s="3">
        <f t="shared" si="20"/>
        <v>0</v>
      </c>
      <c r="GC29" s="3">
        <f t="shared" si="20"/>
        <v>0</v>
      </c>
      <c r="GD29" s="3">
        <f t="shared" si="20"/>
        <v>0</v>
      </c>
      <c r="GE29" s="3">
        <f t="shared" si="20"/>
        <v>0</v>
      </c>
      <c r="GF29" s="3">
        <f t="shared" si="20"/>
        <v>0</v>
      </c>
      <c r="GG29" s="3">
        <f t="shared" si="20"/>
        <v>0</v>
      </c>
      <c r="GH29" s="3">
        <f t="shared" si="20"/>
        <v>0</v>
      </c>
      <c r="GI29" s="3">
        <f t="shared" si="20"/>
        <v>0</v>
      </c>
      <c r="GJ29" s="3">
        <f t="shared" si="20"/>
        <v>0</v>
      </c>
      <c r="GK29" s="3">
        <f t="shared" si="20"/>
        <v>0</v>
      </c>
      <c r="GL29" s="3">
        <f t="shared" si="20"/>
        <v>0</v>
      </c>
      <c r="GM29" s="3">
        <f t="shared" si="20"/>
        <v>0</v>
      </c>
      <c r="GN29" s="3">
        <f t="shared" si="20"/>
        <v>0</v>
      </c>
      <c r="GO29" s="3">
        <f t="shared" si="20"/>
        <v>0</v>
      </c>
      <c r="GP29" s="3">
        <f t="shared" si="20"/>
        <v>0</v>
      </c>
      <c r="GQ29" s="3">
        <f t="shared" si="20"/>
        <v>0</v>
      </c>
      <c r="GR29" s="3">
        <f t="shared" si="20"/>
        <v>0</v>
      </c>
      <c r="GS29" s="3">
        <f t="shared" si="20"/>
        <v>0</v>
      </c>
      <c r="GT29" s="3">
        <f t="shared" si="20"/>
        <v>0</v>
      </c>
      <c r="GU29" s="3">
        <f t="shared" si="20"/>
        <v>0</v>
      </c>
      <c r="GV29" s="3">
        <f t="shared" si="20"/>
        <v>0</v>
      </c>
      <c r="GW29" s="3">
        <f t="shared" si="20"/>
        <v>0</v>
      </c>
      <c r="GX29" s="3">
        <f t="shared" si="20"/>
        <v>0</v>
      </c>
    </row>
    <row r="31" spans="1:245" x14ac:dyDescent="0.2">
      <c r="A31" s="1">
        <v>5</v>
      </c>
      <c r="B31" s="1">
        <v>1</v>
      </c>
      <c r="C31" s="1"/>
      <c r="D31" s="1">
        <f>ROW(A62)</f>
        <v>62</v>
      </c>
      <c r="E31" s="1"/>
      <c r="F31" s="1" t="s">
        <v>19</v>
      </c>
      <c r="G31" s="1" t="s">
        <v>20</v>
      </c>
      <c r="H31" s="1" t="s">
        <v>3</v>
      </c>
      <c r="I31" s="1">
        <v>0</v>
      </c>
      <c r="J31" s="1"/>
      <c r="K31" s="1">
        <v>0</v>
      </c>
      <c r="L31" s="1"/>
      <c r="M31" s="1" t="s">
        <v>3</v>
      </c>
      <c r="N31" s="1"/>
      <c r="O31" s="1"/>
      <c r="P31" s="1"/>
      <c r="Q31" s="1"/>
      <c r="R31" s="1"/>
      <c r="S31" s="1">
        <v>0</v>
      </c>
      <c r="T31" s="1"/>
      <c r="U31" s="1" t="s">
        <v>3</v>
      </c>
      <c r="V31" s="1">
        <v>0</v>
      </c>
      <c r="W31" s="1"/>
      <c r="X31" s="1"/>
      <c r="Y31" s="1"/>
      <c r="Z31" s="1"/>
      <c r="AA31" s="1"/>
      <c r="AB31" s="1" t="s">
        <v>3</v>
      </c>
      <c r="AC31" s="1" t="s">
        <v>3</v>
      </c>
      <c r="AD31" s="1" t="s">
        <v>3</v>
      </c>
      <c r="AE31" s="1" t="s">
        <v>3</v>
      </c>
      <c r="AF31" s="1" t="s">
        <v>3</v>
      </c>
      <c r="AG31" s="1" t="s">
        <v>3</v>
      </c>
      <c r="AH31" s="1"/>
      <c r="AI31" s="1"/>
      <c r="AJ31" s="1"/>
      <c r="AK31" s="1"/>
      <c r="AL31" s="1"/>
      <c r="AM31" s="1"/>
      <c r="AN31" s="1"/>
      <c r="AO31" s="1"/>
      <c r="AP31" s="1" t="s">
        <v>3</v>
      </c>
      <c r="AQ31" s="1" t="s">
        <v>3</v>
      </c>
      <c r="AR31" s="1" t="s">
        <v>3</v>
      </c>
      <c r="AS31" s="1"/>
      <c r="AT31" s="1"/>
      <c r="AU31" s="1"/>
      <c r="AV31" s="1"/>
      <c r="AW31" s="1"/>
      <c r="AX31" s="1"/>
      <c r="AY31" s="1"/>
      <c r="AZ31" s="1" t="s">
        <v>3</v>
      </c>
      <c r="BA31" s="1"/>
      <c r="BB31" s="1" t="s">
        <v>3</v>
      </c>
      <c r="BC31" s="1" t="s">
        <v>3</v>
      </c>
      <c r="BD31" s="1" t="s">
        <v>3</v>
      </c>
      <c r="BE31" s="1" t="s">
        <v>3</v>
      </c>
      <c r="BF31" s="1" t="s">
        <v>3</v>
      </c>
      <c r="BG31" s="1" t="s">
        <v>3</v>
      </c>
      <c r="BH31" s="1" t="s">
        <v>3</v>
      </c>
      <c r="BI31" s="1" t="s">
        <v>3</v>
      </c>
      <c r="BJ31" s="1" t="s">
        <v>3</v>
      </c>
      <c r="BK31" s="1" t="s">
        <v>3</v>
      </c>
      <c r="BL31" s="1" t="s">
        <v>3</v>
      </c>
      <c r="BM31" s="1" t="s">
        <v>3</v>
      </c>
      <c r="BN31" s="1" t="s">
        <v>3</v>
      </c>
      <c r="BO31" s="1" t="s">
        <v>3</v>
      </c>
      <c r="BP31" s="1" t="s">
        <v>3</v>
      </c>
      <c r="BQ31" s="1"/>
      <c r="BR31" s="1"/>
      <c r="BS31" s="1"/>
      <c r="BT31" s="1"/>
      <c r="BU31" s="1"/>
      <c r="BV31" s="1"/>
      <c r="BW31" s="1"/>
      <c r="BX31" s="1">
        <v>0</v>
      </c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>
        <v>0</v>
      </c>
    </row>
    <row r="33" spans="1:245" x14ac:dyDescent="0.2">
      <c r="A33" s="2">
        <v>52</v>
      </c>
      <c r="B33" s="2">
        <f t="shared" ref="B33:G33" si="21">B62</f>
        <v>1</v>
      </c>
      <c r="C33" s="2">
        <f t="shared" si="21"/>
        <v>5</v>
      </c>
      <c r="D33" s="2">
        <f t="shared" si="21"/>
        <v>31</v>
      </c>
      <c r="E33" s="2">
        <f t="shared" si="21"/>
        <v>0</v>
      </c>
      <c r="F33" s="2" t="str">
        <f t="shared" si="21"/>
        <v>Новый подраздел</v>
      </c>
      <c r="G33" s="2" t="str">
        <f t="shared" si="21"/>
        <v>Строительные работы</v>
      </c>
      <c r="H33" s="2"/>
      <c r="I33" s="2"/>
      <c r="J33" s="2"/>
      <c r="K33" s="2"/>
      <c r="L33" s="2"/>
      <c r="M33" s="2"/>
      <c r="N33" s="2"/>
      <c r="O33" s="2">
        <f t="shared" ref="O33:AT33" si="22">O62</f>
        <v>44215.040000000001</v>
      </c>
      <c r="P33" s="2">
        <f t="shared" si="22"/>
        <v>21590.31</v>
      </c>
      <c r="Q33" s="2">
        <f t="shared" si="22"/>
        <v>2768.85</v>
      </c>
      <c r="R33" s="2">
        <f t="shared" si="22"/>
        <v>1493.52</v>
      </c>
      <c r="S33" s="2">
        <f t="shared" si="22"/>
        <v>19855.88</v>
      </c>
      <c r="T33" s="2">
        <f t="shared" si="22"/>
        <v>0</v>
      </c>
      <c r="U33" s="2">
        <f t="shared" si="22"/>
        <v>52.232595623999998</v>
      </c>
      <c r="V33" s="2">
        <f t="shared" si="22"/>
        <v>0</v>
      </c>
      <c r="W33" s="2">
        <f t="shared" si="22"/>
        <v>0</v>
      </c>
      <c r="X33" s="2">
        <f t="shared" si="22"/>
        <v>15028.14</v>
      </c>
      <c r="Y33" s="2">
        <f t="shared" si="22"/>
        <v>8248.01</v>
      </c>
      <c r="Z33" s="2">
        <f t="shared" si="22"/>
        <v>0</v>
      </c>
      <c r="AA33" s="2">
        <f t="shared" si="22"/>
        <v>0</v>
      </c>
      <c r="AB33" s="2">
        <f t="shared" si="22"/>
        <v>44215.040000000001</v>
      </c>
      <c r="AC33" s="2">
        <f t="shared" si="22"/>
        <v>21590.31</v>
      </c>
      <c r="AD33" s="2">
        <f t="shared" si="22"/>
        <v>2768.85</v>
      </c>
      <c r="AE33" s="2">
        <f t="shared" si="22"/>
        <v>1493.52</v>
      </c>
      <c r="AF33" s="2">
        <f t="shared" si="22"/>
        <v>19855.88</v>
      </c>
      <c r="AG33" s="2">
        <f t="shared" si="22"/>
        <v>0</v>
      </c>
      <c r="AH33" s="2">
        <f t="shared" si="22"/>
        <v>52.232595623999998</v>
      </c>
      <c r="AI33" s="2">
        <f t="shared" si="22"/>
        <v>0</v>
      </c>
      <c r="AJ33" s="2">
        <f t="shared" si="22"/>
        <v>0</v>
      </c>
      <c r="AK33" s="2">
        <f t="shared" si="22"/>
        <v>15028.14</v>
      </c>
      <c r="AL33" s="2">
        <f t="shared" si="22"/>
        <v>8248.01</v>
      </c>
      <c r="AM33" s="2">
        <f t="shared" si="22"/>
        <v>0</v>
      </c>
      <c r="AN33" s="2">
        <f t="shared" si="22"/>
        <v>0</v>
      </c>
      <c r="AO33" s="2">
        <f t="shared" si="22"/>
        <v>0</v>
      </c>
      <c r="AP33" s="2">
        <f t="shared" si="22"/>
        <v>0</v>
      </c>
      <c r="AQ33" s="2">
        <f t="shared" si="22"/>
        <v>0</v>
      </c>
      <c r="AR33" s="2">
        <f t="shared" si="22"/>
        <v>69880.83</v>
      </c>
      <c r="AS33" s="2">
        <f t="shared" si="22"/>
        <v>69292.34</v>
      </c>
      <c r="AT33" s="2">
        <f t="shared" si="22"/>
        <v>588.49</v>
      </c>
      <c r="AU33" s="2">
        <f t="shared" ref="AU33:BZ33" si="23">AU62</f>
        <v>0</v>
      </c>
      <c r="AV33" s="2">
        <f t="shared" si="23"/>
        <v>21590.31</v>
      </c>
      <c r="AW33" s="2">
        <f t="shared" si="23"/>
        <v>21590.31</v>
      </c>
      <c r="AX33" s="2">
        <f t="shared" si="23"/>
        <v>0</v>
      </c>
      <c r="AY33" s="2">
        <f t="shared" si="23"/>
        <v>21590.31</v>
      </c>
      <c r="AZ33" s="2">
        <f t="shared" si="23"/>
        <v>0</v>
      </c>
      <c r="BA33" s="2">
        <f t="shared" si="23"/>
        <v>0</v>
      </c>
      <c r="BB33" s="2">
        <f t="shared" si="23"/>
        <v>0</v>
      </c>
      <c r="BC33" s="2">
        <f t="shared" si="23"/>
        <v>0</v>
      </c>
      <c r="BD33" s="2">
        <f t="shared" si="23"/>
        <v>0</v>
      </c>
      <c r="BE33" s="2">
        <f t="shared" si="23"/>
        <v>0</v>
      </c>
      <c r="BF33" s="2">
        <f t="shared" si="23"/>
        <v>0</v>
      </c>
      <c r="BG33" s="2">
        <f t="shared" si="23"/>
        <v>0</v>
      </c>
      <c r="BH33" s="2">
        <f t="shared" si="23"/>
        <v>0</v>
      </c>
      <c r="BI33" s="2">
        <f t="shared" si="23"/>
        <v>0</v>
      </c>
      <c r="BJ33" s="2">
        <f t="shared" si="23"/>
        <v>0</v>
      </c>
      <c r="BK33" s="2">
        <f t="shared" si="23"/>
        <v>0</v>
      </c>
      <c r="BL33" s="2">
        <f t="shared" si="23"/>
        <v>0</v>
      </c>
      <c r="BM33" s="2">
        <f t="shared" si="23"/>
        <v>0</v>
      </c>
      <c r="BN33" s="2">
        <f t="shared" si="23"/>
        <v>0</v>
      </c>
      <c r="BO33" s="2">
        <f t="shared" si="23"/>
        <v>0</v>
      </c>
      <c r="BP33" s="2">
        <f t="shared" si="23"/>
        <v>0</v>
      </c>
      <c r="BQ33" s="2">
        <f t="shared" si="23"/>
        <v>0</v>
      </c>
      <c r="BR33" s="2">
        <f t="shared" si="23"/>
        <v>0</v>
      </c>
      <c r="BS33" s="2">
        <f t="shared" si="23"/>
        <v>0</v>
      </c>
      <c r="BT33" s="2">
        <f t="shared" si="23"/>
        <v>0</v>
      </c>
      <c r="BU33" s="2">
        <f t="shared" si="23"/>
        <v>0</v>
      </c>
      <c r="BV33" s="2">
        <f t="shared" si="23"/>
        <v>0</v>
      </c>
      <c r="BW33" s="2">
        <f t="shared" si="23"/>
        <v>0</v>
      </c>
      <c r="BX33" s="2">
        <f t="shared" si="23"/>
        <v>0</v>
      </c>
      <c r="BY33" s="2">
        <f t="shared" si="23"/>
        <v>0</v>
      </c>
      <c r="BZ33" s="2">
        <f t="shared" si="23"/>
        <v>0</v>
      </c>
      <c r="CA33" s="2">
        <f t="shared" ref="CA33:DF33" si="24">CA62</f>
        <v>69880.83</v>
      </c>
      <c r="CB33" s="2">
        <f t="shared" si="24"/>
        <v>69292.34</v>
      </c>
      <c r="CC33" s="2">
        <f t="shared" si="24"/>
        <v>588.49</v>
      </c>
      <c r="CD33" s="2">
        <f t="shared" si="24"/>
        <v>0</v>
      </c>
      <c r="CE33" s="2">
        <f t="shared" si="24"/>
        <v>21590.31</v>
      </c>
      <c r="CF33" s="2">
        <f t="shared" si="24"/>
        <v>21590.31</v>
      </c>
      <c r="CG33" s="2">
        <f t="shared" si="24"/>
        <v>0</v>
      </c>
      <c r="CH33" s="2">
        <f t="shared" si="24"/>
        <v>21590.31</v>
      </c>
      <c r="CI33" s="2">
        <f t="shared" si="24"/>
        <v>0</v>
      </c>
      <c r="CJ33" s="2">
        <f t="shared" si="24"/>
        <v>0</v>
      </c>
      <c r="CK33" s="2">
        <f t="shared" si="24"/>
        <v>0</v>
      </c>
      <c r="CL33" s="2">
        <f t="shared" si="24"/>
        <v>0</v>
      </c>
      <c r="CM33" s="2">
        <f t="shared" si="24"/>
        <v>0</v>
      </c>
      <c r="CN33" s="2">
        <f t="shared" si="24"/>
        <v>0</v>
      </c>
      <c r="CO33" s="2">
        <f t="shared" si="24"/>
        <v>0</v>
      </c>
      <c r="CP33" s="2">
        <f t="shared" si="24"/>
        <v>0</v>
      </c>
      <c r="CQ33" s="2">
        <f t="shared" si="24"/>
        <v>0</v>
      </c>
      <c r="CR33" s="2">
        <f t="shared" si="24"/>
        <v>0</v>
      </c>
      <c r="CS33" s="2">
        <f t="shared" si="24"/>
        <v>0</v>
      </c>
      <c r="CT33" s="2">
        <f t="shared" si="24"/>
        <v>0</v>
      </c>
      <c r="CU33" s="2">
        <f t="shared" si="24"/>
        <v>0</v>
      </c>
      <c r="CV33" s="2">
        <f t="shared" si="24"/>
        <v>0</v>
      </c>
      <c r="CW33" s="2">
        <f t="shared" si="24"/>
        <v>0</v>
      </c>
      <c r="CX33" s="2">
        <f t="shared" si="24"/>
        <v>0</v>
      </c>
      <c r="CY33" s="2">
        <f t="shared" si="24"/>
        <v>0</v>
      </c>
      <c r="CZ33" s="2">
        <f t="shared" si="24"/>
        <v>0</v>
      </c>
      <c r="DA33" s="2">
        <f t="shared" si="24"/>
        <v>0</v>
      </c>
      <c r="DB33" s="2">
        <f t="shared" si="24"/>
        <v>0</v>
      </c>
      <c r="DC33" s="2">
        <f t="shared" si="24"/>
        <v>0</v>
      </c>
      <c r="DD33" s="2">
        <f t="shared" si="24"/>
        <v>0</v>
      </c>
      <c r="DE33" s="2">
        <f t="shared" si="24"/>
        <v>0</v>
      </c>
      <c r="DF33" s="2">
        <f t="shared" si="24"/>
        <v>0</v>
      </c>
      <c r="DG33" s="3">
        <f t="shared" ref="DG33:EL33" si="25">DG62</f>
        <v>0</v>
      </c>
      <c r="DH33" s="3">
        <f t="shared" si="25"/>
        <v>0</v>
      </c>
      <c r="DI33" s="3">
        <f t="shared" si="25"/>
        <v>0</v>
      </c>
      <c r="DJ33" s="3">
        <f t="shared" si="25"/>
        <v>0</v>
      </c>
      <c r="DK33" s="3">
        <f t="shared" si="25"/>
        <v>0</v>
      </c>
      <c r="DL33" s="3">
        <f t="shared" si="25"/>
        <v>0</v>
      </c>
      <c r="DM33" s="3">
        <f t="shared" si="25"/>
        <v>0</v>
      </c>
      <c r="DN33" s="3">
        <f t="shared" si="25"/>
        <v>0</v>
      </c>
      <c r="DO33" s="3">
        <f t="shared" si="25"/>
        <v>0</v>
      </c>
      <c r="DP33" s="3">
        <f t="shared" si="25"/>
        <v>0</v>
      </c>
      <c r="DQ33" s="3">
        <f t="shared" si="25"/>
        <v>0</v>
      </c>
      <c r="DR33" s="3">
        <f t="shared" si="25"/>
        <v>0</v>
      </c>
      <c r="DS33" s="3">
        <f t="shared" si="25"/>
        <v>0</v>
      </c>
      <c r="DT33" s="3">
        <f t="shared" si="25"/>
        <v>0</v>
      </c>
      <c r="DU33" s="3">
        <f t="shared" si="25"/>
        <v>0</v>
      </c>
      <c r="DV33" s="3">
        <f t="shared" si="25"/>
        <v>0</v>
      </c>
      <c r="DW33" s="3">
        <f t="shared" si="25"/>
        <v>0</v>
      </c>
      <c r="DX33" s="3">
        <f t="shared" si="25"/>
        <v>0</v>
      </c>
      <c r="DY33" s="3">
        <f t="shared" si="25"/>
        <v>0</v>
      </c>
      <c r="DZ33" s="3">
        <f t="shared" si="25"/>
        <v>0</v>
      </c>
      <c r="EA33" s="3">
        <f t="shared" si="25"/>
        <v>0</v>
      </c>
      <c r="EB33" s="3">
        <f t="shared" si="25"/>
        <v>0</v>
      </c>
      <c r="EC33" s="3">
        <f t="shared" si="25"/>
        <v>0</v>
      </c>
      <c r="ED33" s="3">
        <f t="shared" si="25"/>
        <v>0</v>
      </c>
      <c r="EE33" s="3">
        <f t="shared" si="25"/>
        <v>0</v>
      </c>
      <c r="EF33" s="3">
        <f t="shared" si="25"/>
        <v>0</v>
      </c>
      <c r="EG33" s="3">
        <f t="shared" si="25"/>
        <v>0</v>
      </c>
      <c r="EH33" s="3">
        <f t="shared" si="25"/>
        <v>0</v>
      </c>
      <c r="EI33" s="3">
        <f t="shared" si="25"/>
        <v>0</v>
      </c>
      <c r="EJ33" s="3">
        <f t="shared" si="25"/>
        <v>0</v>
      </c>
      <c r="EK33" s="3">
        <f t="shared" si="25"/>
        <v>0</v>
      </c>
      <c r="EL33" s="3">
        <f t="shared" si="25"/>
        <v>0</v>
      </c>
      <c r="EM33" s="3">
        <f t="shared" ref="EM33:FR33" si="26">EM62</f>
        <v>0</v>
      </c>
      <c r="EN33" s="3">
        <f t="shared" si="26"/>
        <v>0</v>
      </c>
      <c r="EO33" s="3">
        <f t="shared" si="26"/>
        <v>0</v>
      </c>
      <c r="EP33" s="3">
        <f t="shared" si="26"/>
        <v>0</v>
      </c>
      <c r="EQ33" s="3">
        <f t="shared" si="26"/>
        <v>0</v>
      </c>
      <c r="ER33" s="3">
        <f t="shared" si="26"/>
        <v>0</v>
      </c>
      <c r="ES33" s="3">
        <f t="shared" si="26"/>
        <v>0</v>
      </c>
      <c r="ET33" s="3">
        <f t="shared" si="26"/>
        <v>0</v>
      </c>
      <c r="EU33" s="3">
        <f t="shared" si="26"/>
        <v>0</v>
      </c>
      <c r="EV33" s="3">
        <f t="shared" si="26"/>
        <v>0</v>
      </c>
      <c r="EW33" s="3">
        <f t="shared" si="26"/>
        <v>0</v>
      </c>
      <c r="EX33" s="3">
        <f t="shared" si="26"/>
        <v>0</v>
      </c>
      <c r="EY33" s="3">
        <f t="shared" si="26"/>
        <v>0</v>
      </c>
      <c r="EZ33" s="3">
        <f t="shared" si="26"/>
        <v>0</v>
      </c>
      <c r="FA33" s="3">
        <f t="shared" si="26"/>
        <v>0</v>
      </c>
      <c r="FB33" s="3">
        <f t="shared" si="26"/>
        <v>0</v>
      </c>
      <c r="FC33" s="3">
        <f t="shared" si="26"/>
        <v>0</v>
      </c>
      <c r="FD33" s="3">
        <f t="shared" si="26"/>
        <v>0</v>
      </c>
      <c r="FE33" s="3">
        <f t="shared" si="26"/>
        <v>0</v>
      </c>
      <c r="FF33" s="3">
        <f t="shared" si="26"/>
        <v>0</v>
      </c>
      <c r="FG33" s="3">
        <f t="shared" si="26"/>
        <v>0</v>
      </c>
      <c r="FH33" s="3">
        <f t="shared" si="26"/>
        <v>0</v>
      </c>
      <c r="FI33" s="3">
        <f t="shared" si="26"/>
        <v>0</v>
      </c>
      <c r="FJ33" s="3">
        <f t="shared" si="26"/>
        <v>0</v>
      </c>
      <c r="FK33" s="3">
        <f t="shared" si="26"/>
        <v>0</v>
      </c>
      <c r="FL33" s="3">
        <f t="shared" si="26"/>
        <v>0</v>
      </c>
      <c r="FM33" s="3">
        <f t="shared" si="26"/>
        <v>0</v>
      </c>
      <c r="FN33" s="3">
        <f t="shared" si="26"/>
        <v>0</v>
      </c>
      <c r="FO33" s="3">
        <f t="shared" si="26"/>
        <v>0</v>
      </c>
      <c r="FP33" s="3">
        <f t="shared" si="26"/>
        <v>0</v>
      </c>
      <c r="FQ33" s="3">
        <f t="shared" si="26"/>
        <v>0</v>
      </c>
      <c r="FR33" s="3">
        <f t="shared" si="26"/>
        <v>0</v>
      </c>
      <c r="FS33" s="3">
        <f t="shared" ref="FS33:GX33" si="27">FS62</f>
        <v>0</v>
      </c>
      <c r="FT33" s="3">
        <f t="shared" si="27"/>
        <v>0</v>
      </c>
      <c r="FU33" s="3">
        <f t="shared" si="27"/>
        <v>0</v>
      </c>
      <c r="FV33" s="3">
        <f t="shared" si="27"/>
        <v>0</v>
      </c>
      <c r="FW33" s="3">
        <f t="shared" si="27"/>
        <v>0</v>
      </c>
      <c r="FX33" s="3">
        <f t="shared" si="27"/>
        <v>0</v>
      </c>
      <c r="FY33" s="3">
        <f t="shared" si="27"/>
        <v>0</v>
      </c>
      <c r="FZ33" s="3">
        <f t="shared" si="27"/>
        <v>0</v>
      </c>
      <c r="GA33" s="3">
        <f t="shared" si="27"/>
        <v>0</v>
      </c>
      <c r="GB33" s="3">
        <f t="shared" si="27"/>
        <v>0</v>
      </c>
      <c r="GC33" s="3">
        <f t="shared" si="27"/>
        <v>0</v>
      </c>
      <c r="GD33" s="3">
        <f t="shared" si="27"/>
        <v>0</v>
      </c>
      <c r="GE33" s="3">
        <f t="shared" si="27"/>
        <v>0</v>
      </c>
      <c r="GF33" s="3">
        <f t="shared" si="27"/>
        <v>0</v>
      </c>
      <c r="GG33" s="3">
        <f t="shared" si="27"/>
        <v>0</v>
      </c>
      <c r="GH33" s="3">
        <f t="shared" si="27"/>
        <v>0</v>
      </c>
      <c r="GI33" s="3">
        <f t="shared" si="27"/>
        <v>0</v>
      </c>
      <c r="GJ33" s="3">
        <f t="shared" si="27"/>
        <v>0</v>
      </c>
      <c r="GK33" s="3">
        <f t="shared" si="27"/>
        <v>0</v>
      </c>
      <c r="GL33" s="3">
        <f t="shared" si="27"/>
        <v>0</v>
      </c>
      <c r="GM33" s="3">
        <f t="shared" si="27"/>
        <v>0</v>
      </c>
      <c r="GN33" s="3">
        <f t="shared" si="27"/>
        <v>0</v>
      </c>
      <c r="GO33" s="3">
        <f t="shared" si="27"/>
        <v>0</v>
      </c>
      <c r="GP33" s="3">
        <f t="shared" si="27"/>
        <v>0</v>
      </c>
      <c r="GQ33" s="3">
        <f t="shared" si="27"/>
        <v>0</v>
      </c>
      <c r="GR33" s="3">
        <f t="shared" si="27"/>
        <v>0</v>
      </c>
      <c r="GS33" s="3">
        <f t="shared" si="27"/>
        <v>0</v>
      </c>
      <c r="GT33" s="3">
        <f t="shared" si="27"/>
        <v>0</v>
      </c>
      <c r="GU33" s="3">
        <f t="shared" si="27"/>
        <v>0</v>
      </c>
      <c r="GV33" s="3">
        <f t="shared" si="27"/>
        <v>0</v>
      </c>
      <c r="GW33" s="3">
        <f t="shared" si="27"/>
        <v>0</v>
      </c>
      <c r="GX33" s="3">
        <f t="shared" si="27"/>
        <v>0</v>
      </c>
    </row>
    <row r="35" spans="1:245" x14ac:dyDescent="0.2">
      <c r="A35">
        <v>17</v>
      </c>
      <c r="B35">
        <v>1</v>
      </c>
      <c r="E35" t="s">
        <v>21</v>
      </c>
      <c r="F35" t="s">
        <v>22</v>
      </c>
      <c r="G35" t="s">
        <v>23</v>
      </c>
      <c r="H35" t="s">
        <v>24</v>
      </c>
      <c r="I35">
        <f>ROUND(6/100,9)</f>
        <v>0.06</v>
      </c>
      <c r="J35">
        <v>0</v>
      </c>
      <c r="K35">
        <f>ROUND(6/100,9)</f>
        <v>0.06</v>
      </c>
      <c r="O35">
        <f t="shared" ref="O35:O60" si="28">ROUND(CP35,2)</f>
        <v>7934.27</v>
      </c>
      <c r="P35">
        <f t="shared" ref="P35:P60" si="29">ROUND((ROUND((AC35*AW35*I35),2)*BC35),2)</f>
        <v>0</v>
      </c>
      <c r="Q35">
        <f>(ROUND((ROUND(((((ET35*1.2)*1.1))*AV35*I35),2)*BB35),2)+ROUND((ROUND(((AE35-(((EU35*1.2)*1.1)))*AV35*I35),2)*BS35),2))</f>
        <v>2347.9</v>
      </c>
      <c r="R35">
        <f t="shared" ref="R35:R60" si="30">ROUND((ROUND((AE35*AV35*I35),2)*BS35),2)</f>
        <v>1486.51</v>
      </c>
      <c r="S35">
        <f t="shared" ref="S35:S60" si="31">ROUND((ROUND((AF35*AV35*I35),2)*BA35),2)</f>
        <v>5586.37</v>
      </c>
      <c r="T35">
        <f t="shared" ref="T35:T60" si="32">ROUND(CU35*I35,2)</f>
        <v>0</v>
      </c>
      <c r="U35">
        <f t="shared" ref="U35:U60" si="33">CV35*I35</f>
        <v>16.677353087999997</v>
      </c>
      <c r="V35">
        <f t="shared" ref="V35:V60" si="34">CW35*I35</f>
        <v>0</v>
      </c>
      <c r="W35">
        <f t="shared" ref="W35:W60" si="35">ROUND(CX35*I35,2)</f>
        <v>0</v>
      </c>
      <c r="X35">
        <f t="shared" ref="X35:X60" si="36">ROUND(CY35,2)</f>
        <v>4189.78</v>
      </c>
      <c r="Y35">
        <f t="shared" ref="Y35:Y60" si="37">ROUND(CZ35,2)</f>
        <v>2290.41</v>
      </c>
      <c r="AA35">
        <v>50732134</v>
      </c>
      <c r="AB35">
        <f t="shared" ref="AB35:AB60" si="38">ROUND((AC35+AD35+AF35),6)</f>
        <v>5069.3015999999998</v>
      </c>
      <c r="AC35">
        <f>ROUND((((ES35*1)*1)),6)</f>
        <v>0</v>
      </c>
      <c r="AD35">
        <f>ROUND((((((ET35*1.2)*1.1))-(((EU35*1.2)*1.1)))+AE35),6)</f>
        <v>2151.6923999999999</v>
      </c>
      <c r="AE35">
        <f>ROUND((((EU35*1.2)*1.1)),6)</f>
        <v>776.27880000000005</v>
      </c>
      <c r="AF35">
        <f>ROUND((((EV35*1.2)*1.1)),6)</f>
        <v>2917.6091999999999</v>
      </c>
      <c r="AG35">
        <f t="shared" ref="AG35:AG60" si="39">ROUND((AP35),6)</f>
        <v>0</v>
      </c>
      <c r="AH35">
        <f>(((EW35*1.2)*1.1))</f>
        <v>265.47840000000002</v>
      </c>
      <c r="AI35">
        <f>(((EX35*1.2)*1.1))</f>
        <v>0</v>
      </c>
      <c r="AJ35">
        <f t="shared" ref="AJ35:AJ60" si="40">(AS35)</f>
        <v>0</v>
      </c>
      <c r="AK35">
        <v>3840.38</v>
      </c>
      <c r="AL35">
        <v>0</v>
      </c>
      <c r="AM35">
        <v>1630.07</v>
      </c>
      <c r="AN35">
        <v>588.09</v>
      </c>
      <c r="AO35">
        <v>2210.31</v>
      </c>
      <c r="AP35">
        <v>0</v>
      </c>
      <c r="AQ35">
        <v>201.12</v>
      </c>
      <c r="AR35">
        <v>0</v>
      </c>
      <c r="AS35">
        <v>0</v>
      </c>
      <c r="AT35">
        <v>75</v>
      </c>
      <c r="AU35">
        <v>41</v>
      </c>
      <c r="AV35">
        <v>1.0469999999999999</v>
      </c>
      <c r="AW35">
        <v>1.002</v>
      </c>
      <c r="AZ35">
        <v>1</v>
      </c>
      <c r="BA35">
        <v>30.48</v>
      </c>
      <c r="BB35">
        <v>17.37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1</v>
      </c>
      <c r="BJ35" t="s">
        <v>25</v>
      </c>
      <c r="BM35">
        <v>682</v>
      </c>
      <c r="BN35">
        <v>0</v>
      </c>
      <c r="BO35" t="s">
        <v>22</v>
      </c>
      <c r="BP35">
        <v>1</v>
      </c>
      <c r="BQ35">
        <v>60</v>
      </c>
      <c r="BR35">
        <v>0</v>
      </c>
      <c r="BS35">
        <v>30.48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75</v>
      </c>
      <c r="CA35">
        <v>41</v>
      </c>
      <c r="CB35" t="s">
        <v>3</v>
      </c>
      <c r="CE35">
        <v>30</v>
      </c>
      <c r="CF35">
        <v>0</v>
      </c>
      <c r="CG35">
        <v>0</v>
      </c>
      <c r="CM35">
        <v>0</v>
      </c>
      <c r="CN35" t="s">
        <v>265</v>
      </c>
      <c r="CO35">
        <v>0</v>
      </c>
      <c r="CP35">
        <f t="shared" ref="CP35:CP60" si="41">(P35+Q35+S35)</f>
        <v>7934.27</v>
      </c>
      <c r="CQ35">
        <f t="shared" ref="CQ35:CQ60" si="42">ROUND((ROUND((AC35*AW35*1),2)*BC35),2)</f>
        <v>0</v>
      </c>
      <c r="CR35">
        <f>(ROUND((ROUND(((((ET35*1.2)*1.1))*AV35*1),2)*BB35),2)+ROUND((ROUND(((AE35-(((EU35*1.2)*1.1)))*AV35*1),2)*BS35),2))</f>
        <v>39131.480000000003</v>
      </c>
      <c r="CS35">
        <f t="shared" ref="CS35:CS60" si="43">ROUND((ROUND((AE35*AV35*1),2)*BS35),2)</f>
        <v>24772.92</v>
      </c>
      <c r="CT35">
        <f t="shared" ref="CT35:CT60" si="44">ROUND((ROUND((AF35*AV35*1),2)*BA35),2)</f>
        <v>93108.479999999996</v>
      </c>
      <c r="CU35">
        <f t="shared" ref="CU35:CU60" si="45">AG35</f>
        <v>0</v>
      </c>
      <c r="CV35">
        <f t="shared" ref="CV35:CV60" si="46">(AH35*AV35)</f>
        <v>277.95588479999998</v>
      </c>
      <c r="CW35">
        <f t="shared" ref="CW35:CW60" si="47">AI35</f>
        <v>0</v>
      </c>
      <c r="CX35">
        <f t="shared" ref="CX35:CX60" si="48">AJ35</f>
        <v>0</v>
      </c>
      <c r="CY35">
        <f t="shared" ref="CY35:CY60" si="49">S35*(BZ35/100)</f>
        <v>4189.7775000000001</v>
      </c>
      <c r="CZ35">
        <f t="shared" ref="CZ35:CZ60" si="50">S35*(CA35/100)</f>
        <v>2290.4116999999997</v>
      </c>
      <c r="DC35" t="s">
        <v>3</v>
      </c>
      <c r="DD35" t="s">
        <v>26</v>
      </c>
      <c r="DE35" t="s">
        <v>27</v>
      </c>
      <c r="DF35" t="s">
        <v>27</v>
      </c>
      <c r="DG35" t="s">
        <v>27</v>
      </c>
      <c r="DH35" t="s">
        <v>3</v>
      </c>
      <c r="DI35" t="s">
        <v>27</v>
      </c>
      <c r="DJ35" t="s">
        <v>27</v>
      </c>
      <c r="DK35" t="s">
        <v>3</v>
      </c>
      <c r="DL35" t="s">
        <v>3</v>
      </c>
      <c r="DM35" t="s">
        <v>3</v>
      </c>
      <c r="DN35">
        <v>91</v>
      </c>
      <c r="DO35">
        <v>70</v>
      </c>
      <c r="DP35">
        <v>1.0469999999999999</v>
      </c>
      <c r="DQ35">
        <v>1.002</v>
      </c>
      <c r="DU35">
        <v>1013</v>
      </c>
      <c r="DV35" t="s">
        <v>24</v>
      </c>
      <c r="DW35" t="s">
        <v>24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50002344</v>
      </c>
      <c r="EF35">
        <v>60</v>
      </c>
      <c r="EG35" t="s">
        <v>28</v>
      </c>
      <c r="EH35">
        <v>0</v>
      </c>
      <c r="EI35" t="s">
        <v>3</v>
      </c>
      <c r="EJ35">
        <v>1</v>
      </c>
      <c r="EK35">
        <v>682</v>
      </c>
      <c r="EL35" t="s">
        <v>29</v>
      </c>
      <c r="EM35" t="s">
        <v>30</v>
      </c>
      <c r="EO35" t="s">
        <v>31</v>
      </c>
      <c r="EQ35">
        <v>0</v>
      </c>
      <c r="ER35">
        <v>3840.38</v>
      </c>
      <c r="ES35">
        <v>0</v>
      </c>
      <c r="ET35">
        <v>1630.07</v>
      </c>
      <c r="EU35">
        <v>588.09</v>
      </c>
      <c r="EV35">
        <v>2210.31</v>
      </c>
      <c r="EW35">
        <v>201.12</v>
      </c>
      <c r="EX35">
        <v>0</v>
      </c>
      <c r="EY35">
        <v>0</v>
      </c>
      <c r="FQ35">
        <v>0</v>
      </c>
      <c r="FR35">
        <f t="shared" ref="FR35:FR60" si="51">ROUND(IF(BI35=3,GM35,0),2)</f>
        <v>0</v>
      </c>
      <c r="FS35">
        <v>0</v>
      </c>
      <c r="FX35">
        <v>91</v>
      </c>
      <c r="FY35">
        <v>70</v>
      </c>
      <c r="GA35" t="s">
        <v>3</v>
      </c>
      <c r="GD35">
        <v>0</v>
      </c>
      <c r="GF35">
        <v>-963780205</v>
      </c>
      <c r="GG35">
        <v>2</v>
      </c>
      <c r="GH35">
        <v>1</v>
      </c>
      <c r="GI35">
        <v>2</v>
      </c>
      <c r="GJ35">
        <v>0</v>
      </c>
      <c r="GK35">
        <f>ROUND(R35*(R12)/100,2)</f>
        <v>2378.42</v>
      </c>
      <c r="GL35">
        <f t="shared" ref="GL35:GL60" si="52">ROUND(IF(AND(BH35=3,BI35=3,FS35&lt;&gt;0),P35,0),2)</f>
        <v>0</v>
      </c>
      <c r="GM35">
        <f t="shared" ref="GM35:GM60" si="53">ROUND(O35+X35+Y35+GK35,2)+GX35</f>
        <v>16792.88</v>
      </c>
      <c r="GN35">
        <f t="shared" ref="GN35:GN60" si="54">IF(OR(BI35=0,BI35=1),GM35-GX35,0)</f>
        <v>16792.88</v>
      </c>
      <c r="GO35">
        <f t="shared" ref="GO35:GO60" si="55">IF(BI35=2,GM35-GX35,0)</f>
        <v>0</v>
      </c>
      <c r="GP35">
        <f t="shared" ref="GP35:GP60" si="56">IF(BI35=4,GM35-GX35,0)</f>
        <v>0</v>
      </c>
      <c r="GR35">
        <v>0</v>
      </c>
      <c r="GS35">
        <v>3</v>
      </c>
      <c r="GT35">
        <v>0</v>
      </c>
      <c r="GU35" t="s">
        <v>3</v>
      </c>
      <c r="GV35">
        <f t="shared" ref="GV35:GV60" si="57">ROUND((GT35),6)</f>
        <v>0</v>
      </c>
      <c r="GW35">
        <v>1</v>
      </c>
      <c r="GX35">
        <f t="shared" ref="GX35:GX60" si="58">ROUND(HC35*I35,2)</f>
        <v>0</v>
      </c>
      <c r="HA35">
        <v>0</v>
      </c>
      <c r="HB35">
        <v>0</v>
      </c>
      <c r="HC35">
        <f t="shared" ref="HC35:HC60" si="59">GV35*GW35</f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E36" t="s">
        <v>32</v>
      </c>
      <c r="F36" t="s">
        <v>33</v>
      </c>
      <c r="G36" t="s">
        <v>34</v>
      </c>
      <c r="H36" t="s">
        <v>35</v>
      </c>
      <c r="I36">
        <f>ROUND(1/1000,9)</f>
        <v>1E-3</v>
      </c>
      <c r="J36">
        <v>0</v>
      </c>
      <c r="K36">
        <f>ROUND(1/1000,9)</f>
        <v>1E-3</v>
      </c>
      <c r="O36">
        <f t="shared" si="28"/>
        <v>229.01</v>
      </c>
      <c r="P36">
        <f t="shared" si="29"/>
        <v>159.82</v>
      </c>
      <c r="Q36">
        <f>(ROUND((ROUND(((((ET36*1.2)*1.1))*AV36*I36),2)*BB36),2)+ROUND((ROUND(((AE36-(((EU36*1.2)*1.1)))*AV36*I36),2)*BS36),2))</f>
        <v>0</v>
      </c>
      <c r="R36">
        <f t="shared" si="30"/>
        <v>0</v>
      </c>
      <c r="S36">
        <f t="shared" si="31"/>
        <v>69.19</v>
      </c>
      <c r="T36">
        <f t="shared" si="32"/>
        <v>0</v>
      </c>
      <c r="U36">
        <f t="shared" si="33"/>
        <v>0.20281535999999997</v>
      </c>
      <c r="V36">
        <f t="shared" si="34"/>
        <v>0</v>
      </c>
      <c r="W36">
        <f t="shared" si="35"/>
        <v>0</v>
      </c>
      <c r="X36">
        <f t="shared" si="36"/>
        <v>63.65</v>
      </c>
      <c r="Y36">
        <f t="shared" si="37"/>
        <v>28.37</v>
      </c>
      <c r="AA36">
        <v>50732134</v>
      </c>
      <c r="AB36">
        <f t="shared" si="38"/>
        <v>21679.234400000001</v>
      </c>
      <c r="AC36">
        <f>ROUND((((ES36*1)*1)),6)</f>
        <v>19554.14</v>
      </c>
      <c r="AD36">
        <f>ROUND((((((ET36*1.2)*1.1))-(((EU36*1.2)*1.1)))+AE36),6)</f>
        <v>0</v>
      </c>
      <c r="AE36">
        <f>ROUND((((EU36*1.2)*1.1)),6)</f>
        <v>0</v>
      </c>
      <c r="AF36">
        <f>ROUND((((EV36*1.2)*1.1)),6)</f>
        <v>2125.0944</v>
      </c>
      <c r="AG36">
        <f t="shared" si="39"/>
        <v>0</v>
      </c>
      <c r="AH36">
        <f>(((EW36*1.2)*1.1))</f>
        <v>190.07999999999998</v>
      </c>
      <c r="AI36">
        <f>(((EX36*1.2)*1.1))</f>
        <v>0</v>
      </c>
      <c r="AJ36">
        <f t="shared" si="40"/>
        <v>0</v>
      </c>
      <c r="AK36">
        <v>21164.06</v>
      </c>
      <c r="AL36">
        <v>19554.14</v>
      </c>
      <c r="AM36">
        <v>0</v>
      </c>
      <c r="AN36">
        <v>0</v>
      </c>
      <c r="AO36">
        <v>1609.92</v>
      </c>
      <c r="AP36">
        <v>0</v>
      </c>
      <c r="AQ36">
        <v>144</v>
      </c>
      <c r="AR36">
        <v>0</v>
      </c>
      <c r="AS36">
        <v>0</v>
      </c>
      <c r="AT36">
        <v>92</v>
      </c>
      <c r="AU36">
        <v>41</v>
      </c>
      <c r="AV36">
        <v>1.0669999999999999</v>
      </c>
      <c r="AW36">
        <v>1.081</v>
      </c>
      <c r="AZ36">
        <v>1</v>
      </c>
      <c r="BA36">
        <v>30.48</v>
      </c>
      <c r="BB36">
        <v>1</v>
      </c>
      <c r="BC36">
        <v>7.56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1</v>
      </c>
      <c r="BJ36" t="s">
        <v>36</v>
      </c>
      <c r="BM36">
        <v>242</v>
      </c>
      <c r="BN36">
        <v>0</v>
      </c>
      <c r="BO36" t="s">
        <v>33</v>
      </c>
      <c r="BP36">
        <v>1</v>
      </c>
      <c r="BQ36">
        <v>30</v>
      </c>
      <c r="BR36">
        <v>0</v>
      </c>
      <c r="BS36">
        <v>30.48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92</v>
      </c>
      <c r="CA36">
        <v>41</v>
      </c>
      <c r="CB36" t="s">
        <v>3</v>
      </c>
      <c r="CE36">
        <v>30</v>
      </c>
      <c r="CF36">
        <v>0</v>
      </c>
      <c r="CG36">
        <v>0</v>
      </c>
      <c r="CM36">
        <v>0</v>
      </c>
      <c r="CN36" t="s">
        <v>265</v>
      </c>
      <c r="CO36">
        <v>0</v>
      </c>
      <c r="CP36">
        <f t="shared" si="41"/>
        <v>229.01</v>
      </c>
      <c r="CQ36">
        <f t="shared" si="42"/>
        <v>159803.51</v>
      </c>
      <c r="CR36">
        <f>(ROUND((ROUND(((((ET36*1.2)*1.1))*AV36*1),2)*BB36),2)+ROUND((ROUND(((AE36-(((EU36*1.2)*1.1)))*AV36*1),2)*BS36),2))</f>
        <v>0</v>
      </c>
      <c r="CS36">
        <f t="shared" si="43"/>
        <v>0</v>
      </c>
      <c r="CT36">
        <f t="shared" si="44"/>
        <v>69112.789999999994</v>
      </c>
      <c r="CU36">
        <f t="shared" si="45"/>
        <v>0</v>
      </c>
      <c r="CV36">
        <f t="shared" si="46"/>
        <v>202.81535999999997</v>
      </c>
      <c r="CW36">
        <f t="shared" si="47"/>
        <v>0</v>
      </c>
      <c r="CX36">
        <f t="shared" si="48"/>
        <v>0</v>
      </c>
      <c r="CY36">
        <f t="shared" si="49"/>
        <v>63.654800000000002</v>
      </c>
      <c r="CZ36">
        <f t="shared" si="50"/>
        <v>28.367899999999999</v>
      </c>
      <c r="DC36" t="s">
        <v>3</v>
      </c>
      <c r="DD36" t="s">
        <v>26</v>
      </c>
      <c r="DE36" t="s">
        <v>27</v>
      </c>
      <c r="DF36" t="s">
        <v>27</v>
      </c>
      <c r="DG36" t="s">
        <v>27</v>
      </c>
      <c r="DH36" t="s">
        <v>3</v>
      </c>
      <c r="DI36" t="s">
        <v>27</v>
      </c>
      <c r="DJ36" t="s">
        <v>27</v>
      </c>
      <c r="DK36" t="s">
        <v>3</v>
      </c>
      <c r="DL36" t="s">
        <v>3</v>
      </c>
      <c r="DM36" t="s">
        <v>3</v>
      </c>
      <c r="DN36">
        <v>112</v>
      </c>
      <c r="DO36">
        <v>70</v>
      </c>
      <c r="DP36">
        <v>1.0669999999999999</v>
      </c>
      <c r="DQ36">
        <v>1.081</v>
      </c>
      <c r="DU36">
        <v>1013</v>
      </c>
      <c r="DV36" t="s">
        <v>35</v>
      </c>
      <c r="DW36" t="s">
        <v>35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50001904</v>
      </c>
      <c r="EF36">
        <v>30</v>
      </c>
      <c r="EG36" t="s">
        <v>20</v>
      </c>
      <c r="EH36">
        <v>0</v>
      </c>
      <c r="EI36" t="s">
        <v>3</v>
      </c>
      <c r="EJ36">
        <v>1</v>
      </c>
      <c r="EK36">
        <v>242</v>
      </c>
      <c r="EL36" t="s">
        <v>37</v>
      </c>
      <c r="EM36" t="s">
        <v>38</v>
      </c>
      <c r="EO36" t="s">
        <v>31</v>
      </c>
      <c r="EQ36">
        <v>0</v>
      </c>
      <c r="ER36">
        <v>21164.06</v>
      </c>
      <c r="ES36">
        <v>19554.14</v>
      </c>
      <c r="ET36">
        <v>0</v>
      </c>
      <c r="EU36">
        <v>0</v>
      </c>
      <c r="EV36">
        <v>1609.92</v>
      </c>
      <c r="EW36">
        <v>144</v>
      </c>
      <c r="EX36">
        <v>0</v>
      </c>
      <c r="EY36">
        <v>0</v>
      </c>
      <c r="FQ36">
        <v>0</v>
      </c>
      <c r="FR36">
        <f t="shared" si="51"/>
        <v>0</v>
      </c>
      <c r="FS36">
        <v>2</v>
      </c>
      <c r="FX36">
        <v>112</v>
      </c>
      <c r="FY36">
        <v>70</v>
      </c>
      <c r="GA36" t="s">
        <v>3</v>
      </c>
      <c r="GD36">
        <v>0</v>
      </c>
      <c r="GF36">
        <v>-374340231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52"/>
        <v>0</v>
      </c>
      <c r="GM36">
        <f t="shared" si="53"/>
        <v>321.02999999999997</v>
      </c>
      <c r="GN36">
        <f t="shared" si="54"/>
        <v>321.02999999999997</v>
      </c>
      <c r="GO36">
        <f t="shared" si="55"/>
        <v>0</v>
      </c>
      <c r="GP36">
        <f t="shared" si="56"/>
        <v>0</v>
      </c>
      <c r="GR36">
        <v>0</v>
      </c>
      <c r="GS36">
        <v>3</v>
      </c>
      <c r="GT36">
        <v>0</v>
      </c>
      <c r="GU36" t="s">
        <v>3</v>
      </c>
      <c r="GV36">
        <f t="shared" si="57"/>
        <v>0</v>
      </c>
      <c r="GW36">
        <v>1</v>
      </c>
      <c r="GX36">
        <f t="shared" si="58"/>
        <v>0</v>
      </c>
      <c r="HA36">
        <v>0</v>
      </c>
      <c r="HB36">
        <v>0</v>
      </c>
      <c r="HC36">
        <f t="shared" si="59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18</v>
      </c>
      <c r="B37">
        <v>1</v>
      </c>
      <c r="E37" t="s">
        <v>39</v>
      </c>
      <c r="F37" t="s">
        <v>40</v>
      </c>
      <c r="G37" t="s">
        <v>41</v>
      </c>
      <c r="H37" t="s">
        <v>42</v>
      </c>
      <c r="I37">
        <f>I36*J37</f>
        <v>-1</v>
      </c>
      <c r="J37">
        <v>-1000</v>
      </c>
      <c r="K37">
        <v>-1000</v>
      </c>
      <c r="O37">
        <f t="shared" si="28"/>
        <v>-147.37</v>
      </c>
      <c r="P37">
        <f t="shared" si="29"/>
        <v>-147.37</v>
      </c>
      <c r="Q37">
        <f>(ROUND((ROUND(((ET37)*AV37*I37),2)*BB37),2)+ROUND((ROUND(((AE37-(EU37))*AV37*I37),2)*BS37),2))</f>
        <v>0</v>
      </c>
      <c r="R37">
        <f t="shared" si="30"/>
        <v>0</v>
      </c>
      <c r="S37">
        <f t="shared" si="31"/>
        <v>0</v>
      </c>
      <c r="T37">
        <f t="shared" si="32"/>
        <v>0</v>
      </c>
      <c r="U37">
        <f t="shared" si="33"/>
        <v>0</v>
      </c>
      <c r="V37">
        <f t="shared" si="34"/>
        <v>0</v>
      </c>
      <c r="W37">
        <f t="shared" si="35"/>
        <v>0</v>
      </c>
      <c r="X37">
        <f t="shared" si="36"/>
        <v>0</v>
      </c>
      <c r="Y37">
        <f t="shared" si="37"/>
        <v>0</v>
      </c>
      <c r="AA37">
        <v>50732134</v>
      </c>
      <c r="AB37">
        <f t="shared" si="38"/>
        <v>15.01</v>
      </c>
      <c r="AC37">
        <f>ROUND((ES37),6)</f>
        <v>15.01</v>
      </c>
      <c r="AD37">
        <f>ROUND((((ET37)-(EU37))+AE37),6)</f>
        <v>0</v>
      </c>
      <c r="AE37">
        <f>ROUND((EU37),6)</f>
        <v>0</v>
      </c>
      <c r="AF37">
        <f>ROUND((EV37),6)</f>
        <v>0</v>
      </c>
      <c r="AG37">
        <f t="shared" si="39"/>
        <v>0</v>
      </c>
      <c r="AH37">
        <f>(EW37)</f>
        <v>0</v>
      </c>
      <c r="AI37">
        <f>(EX37)</f>
        <v>0</v>
      </c>
      <c r="AJ37">
        <f t="shared" si="40"/>
        <v>0</v>
      </c>
      <c r="AK37">
        <v>15.01</v>
      </c>
      <c r="AL37">
        <v>15.01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1.081</v>
      </c>
      <c r="AZ37">
        <v>1</v>
      </c>
      <c r="BA37">
        <v>1</v>
      </c>
      <c r="BB37">
        <v>1</v>
      </c>
      <c r="BC37">
        <v>9.08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1</v>
      </c>
      <c r="BJ37" t="s">
        <v>43</v>
      </c>
      <c r="BM37">
        <v>242</v>
      </c>
      <c r="BN37">
        <v>0</v>
      </c>
      <c r="BO37" t="s">
        <v>40</v>
      </c>
      <c r="BP37">
        <v>1</v>
      </c>
      <c r="BQ37">
        <v>30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0</v>
      </c>
      <c r="CA37">
        <v>0</v>
      </c>
      <c r="CB37" t="s">
        <v>3</v>
      </c>
      <c r="CE37">
        <v>30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1"/>
        <v>-147.37</v>
      </c>
      <c r="CQ37">
        <f t="shared" si="42"/>
        <v>147.37</v>
      </c>
      <c r="CR37">
        <f>(ROUND((ROUND(((ET37)*AV37*1),2)*BB37),2)+ROUND((ROUND(((AE37-(EU37))*AV37*1),2)*BS37),2))</f>
        <v>0</v>
      </c>
      <c r="CS37">
        <f t="shared" si="43"/>
        <v>0</v>
      </c>
      <c r="CT37">
        <f t="shared" si="44"/>
        <v>0</v>
      </c>
      <c r="CU37">
        <f t="shared" si="45"/>
        <v>0</v>
      </c>
      <c r="CV37">
        <f t="shared" si="46"/>
        <v>0</v>
      </c>
      <c r="CW37">
        <f t="shared" si="47"/>
        <v>0</v>
      </c>
      <c r="CX37">
        <f t="shared" si="48"/>
        <v>0</v>
      </c>
      <c r="CY37">
        <f t="shared" si="49"/>
        <v>0</v>
      </c>
      <c r="CZ37">
        <f t="shared" si="50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112</v>
      </c>
      <c r="DO37">
        <v>70</v>
      </c>
      <c r="DP37">
        <v>1.0669999999999999</v>
      </c>
      <c r="DQ37">
        <v>1.081</v>
      </c>
      <c r="DU37">
        <v>1003</v>
      </c>
      <c r="DV37" t="s">
        <v>42</v>
      </c>
      <c r="DW37" t="s">
        <v>42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50001904</v>
      </c>
      <c r="EF37">
        <v>30</v>
      </c>
      <c r="EG37" t="s">
        <v>20</v>
      </c>
      <c r="EH37">
        <v>0</v>
      </c>
      <c r="EI37" t="s">
        <v>3</v>
      </c>
      <c r="EJ37">
        <v>1</v>
      </c>
      <c r="EK37">
        <v>242</v>
      </c>
      <c r="EL37" t="s">
        <v>37</v>
      </c>
      <c r="EM37" t="s">
        <v>38</v>
      </c>
      <c r="EO37" t="s">
        <v>3</v>
      </c>
      <c r="EQ37">
        <v>0</v>
      </c>
      <c r="ER37">
        <v>15.01</v>
      </c>
      <c r="ES37">
        <v>15.01</v>
      </c>
      <c r="ET37">
        <v>0</v>
      </c>
      <c r="EU37">
        <v>0</v>
      </c>
      <c r="EV37">
        <v>0</v>
      </c>
      <c r="EW37">
        <v>0</v>
      </c>
      <c r="EX37">
        <v>0</v>
      </c>
      <c r="FQ37">
        <v>0</v>
      </c>
      <c r="FR37">
        <f t="shared" si="51"/>
        <v>0</v>
      </c>
      <c r="FS37">
        <v>0</v>
      </c>
      <c r="FX37">
        <v>112</v>
      </c>
      <c r="FY37">
        <v>70</v>
      </c>
      <c r="GA37" t="s">
        <v>3</v>
      </c>
      <c r="GD37">
        <v>0</v>
      </c>
      <c r="GF37">
        <v>1669039596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52"/>
        <v>0</v>
      </c>
      <c r="GM37">
        <f t="shared" si="53"/>
        <v>-147.37</v>
      </c>
      <c r="GN37">
        <f t="shared" si="54"/>
        <v>-147.37</v>
      </c>
      <c r="GO37">
        <f t="shared" si="55"/>
        <v>0</v>
      </c>
      <c r="GP37">
        <f t="shared" si="56"/>
        <v>0</v>
      </c>
      <c r="GR37">
        <v>0</v>
      </c>
      <c r="GS37">
        <v>3</v>
      </c>
      <c r="GT37">
        <v>0</v>
      </c>
      <c r="GU37" t="s">
        <v>3</v>
      </c>
      <c r="GV37">
        <f t="shared" si="57"/>
        <v>0</v>
      </c>
      <c r="GW37">
        <v>1</v>
      </c>
      <c r="GX37">
        <f t="shared" si="58"/>
        <v>0</v>
      </c>
      <c r="HA37">
        <v>0</v>
      </c>
      <c r="HB37">
        <v>0</v>
      </c>
      <c r="HC37">
        <f t="shared" si="59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E38" t="s">
        <v>44</v>
      </c>
      <c r="F38" t="s">
        <v>45</v>
      </c>
      <c r="G38" t="s">
        <v>46</v>
      </c>
      <c r="H38" t="s">
        <v>42</v>
      </c>
      <c r="I38">
        <v>1</v>
      </c>
      <c r="J38">
        <v>0</v>
      </c>
      <c r="K38">
        <v>1</v>
      </c>
      <c r="O38">
        <f t="shared" si="28"/>
        <v>229.6</v>
      </c>
      <c r="P38">
        <f t="shared" si="29"/>
        <v>229.6</v>
      </c>
      <c r="Q38">
        <f>(ROUND((ROUND(((ET38)*AV38*I38),2)*BB38),2)+ROUND((ROUND(((AE38-(EU38))*AV38*I38),2)*BS38),2))</f>
        <v>0</v>
      </c>
      <c r="R38">
        <f t="shared" si="30"/>
        <v>0</v>
      </c>
      <c r="S38">
        <f t="shared" si="31"/>
        <v>0</v>
      </c>
      <c r="T38">
        <f t="shared" si="32"/>
        <v>0</v>
      </c>
      <c r="U38">
        <f t="shared" si="33"/>
        <v>0</v>
      </c>
      <c r="V38">
        <f t="shared" si="34"/>
        <v>0</v>
      </c>
      <c r="W38">
        <f t="shared" si="35"/>
        <v>0</v>
      </c>
      <c r="X38">
        <f t="shared" si="36"/>
        <v>0</v>
      </c>
      <c r="Y38">
        <f t="shared" si="37"/>
        <v>0</v>
      </c>
      <c r="AA38">
        <v>50732134</v>
      </c>
      <c r="AB38">
        <f t="shared" si="38"/>
        <v>24.4</v>
      </c>
      <c r="AC38">
        <f>ROUND((ES38),6)</f>
        <v>24.4</v>
      </c>
      <c r="AD38">
        <f>ROUND((((ET38)-(EU38))+AE38),6)</f>
        <v>0</v>
      </c>
      <c r="AE38">
        <f>ROUND((EU38),6)</f>
        <v>0</v>
      </c>
      <c r="AF38">
        <f>ROUND((EV38),6)</f>
        <v>0</v>
      </c>
      <c r="AG38">
        <f t="shared" si="39"/>
        <v>0</v>
      </c>
      <c r="AH38">
        <f>(EW38)</f>
        <v>0</v>
      </c>
      <c r="AI38">
        <f>(EX38)</f>
        <v>0</v>
      </c>
      <c r="AJ38">
        <f t="shared" si="40"/>
        <v>0</v>
      </c>
      <c r="AK38">
        <v>24.4</v>
      </c>
      <c r="AL38">
        <v>24.4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9.41</v>
      </c>
      <c r="BD38" t="s">
        <v>3</v>
      </c>
      <c r="BE38" t="s">
        <v>3</v>
      </c>
      <c r="BF38" t="s">
        <v>3</v>
      </c>
      <c r="BG38" t="s">
        <v>3</v>
      </c>
      <c r="BH38">
        <v>3</v>
      </c>
      <c r="BI38">
        <v>1</v>
      </c>
      <c r="BJ38" t="s">
        <v>47</v>
      </c>
      <c r="BM38">
        <v>1617</v>
      </c>
      <c r="BN38">
        <v>0</v>
      </c>
      <c r="BO38" t="s">
        <v>45</v>
      </c>
      <c r="BP38">
        <v>1</v>
      </c>
      <c r="BQ38">
        <v>200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0</v>
      </c>
      <c r="CA38">
        <v>0</v>
      </c>
      <c r="CB38" t="s">
        <v>3</v>
      </c>
      <c r="CE38">
        <v>30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1"/>
        <v>229.6</v>
      </c>
      <c r="CQ38">
        <f t="shared" si="42"/>
        <v>229.6</v>
      </c>
      <c r="CR38">
        <f>(ROUND((ROUND(((ET38)*AV38*1),2)*BB38),2)+ROUND((ROUND(((AE38-(EU38))*AV38*1),2)*BS38),2))</f>
        <v>0</v>
      </c>
      <c r="CS38">
        <f t="shared" si="43"/>
        <v>0</v>
      </c>
      <c r="CT38">
        <f t="shared" si="44"/>
        <v>0</v>
      </c>
      <c r="CU38">
        <f t="shared" si="45"/>
        <v>0</v>
      </c>
      <c r="CV38">
        <f t="shared" si="46"/>
        <v>0</v>
      </c>
      <c r="CW38">
        <f t="shared" si="47"/>
        <v>0</v>
      </c>
      <c r="CX38">
        <f t="shared" si="48"/>
        <v>0</v>
      </c>
      <c r="CY38">
        <f t="shared" si="49"/>
        <v>0</v>
      </c>
      <c r="CZ38">
        <f t="shared" si="50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1003</v>
      </c>
      <c r="DV38" t="s">
        <v>42</v>
      </c>
      <c r="DW38" t="s">
        <v>42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50003279</v>
      </c>
      <c r="EF38">
        <v>200</v>
      </c>
      <c r="EG38" t="s">
        <v>48</v>
      </c>
      <c r="EH38">
        <v>0</v>
      </c>
      <c r="EI38" t="s">
        <v>3</v>
      </c>
      <c r="EJ38">
        <v>1</v>
      </c>
      <c r="EK38">
        <v>1617</v>
      </c>
      <c r="EL38" t="s">
        <v>49</v>
      </c>
      <c r="EM38" t="s">
        <v>50</v>
      </c>
      <c r="EO38" t="s">
        <v>3</v>
      </c>
      <c r="EQ38">
        <v>0</v>
      </c>
      <c r="ER38">
        <v>24.4</v>
      </c>
      <c r="ES38">
        <v>24.4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FQ38">
        <v>0</v>
      </c>
      <c r="FR38">
        <f t="shared" si="51"/>
        <v>0</v>
      </c>
      <c r="FS38">
        <v>0</v>
      </c>
      <c r="FX38">
        <v>0</v>
      </c>
      <c r="FY38">
        <v>0</v>
      </c>
      <c r="GA38" t="s">
        <v>3</v>
      </c>
      <c r="GD38">
        <v>0</v>
      </c>
      <c r="GF38">
        <v>939292151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52"/>
        <v>0</v>
      </c>
      <c r="GM38">
        <f t="shared" si="53"/>
        <v>229.6</v>
      </c>
      <c r="GN38">
        <f t="shared" si="54"/>
        <v>229.6</v>
      </c>
      <c r="GO38">
        <f t="shared" si="55"/>
        <v>0</v>
      </c>
      <c r="GP38">
        <f t="shared" si="56"/>
        <v>0</v>
      </c>
      <c r="GR38">
        <v>0</v>
      </c>
      <c r="GS38">
        <v>3</v>
      </c>
      <c r="GT38">
        <v>0</v>
      </c>
      <c r="GU38" t="s">
        <v>3</v>
      </c>
      <c r="GV38">
        <f t="shared" si="57"/>
        <v>0</v>
      </c>
      <c r="GW38">
        <v>1</v>
      </c>
      <c r="GX38">
        <f t="shared" si="58"/>
        <v>0</v>
      </c>
      <c r="HA38">
        <v>0</v>
      </c>
      <c r="HB38">
        <v>0</v>
      </c>
      <c r="HC38">
        <f t="shared" si="59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1</v>
      </c>
      <c r="E39" t="s">
        <v>51</v>
      </c>
      <c r="F39" t="s">
        <v>52</v>
      </c>
      <c r="G39" t="s">
        <v>53</v>
      </c>
      <c r="H39" t="s">
        <v>24</v>
      </c>
      <c r="I39">
        <f>ROUND(6/100,9)</f>
        <v>0.06</v>
      </c>
      <c r="J39">
        <v>0</v>
      </c>
      <c r="K39">
        <f>ROUND(6/100,9)</f>
        <v>0.06</v>
      </c>
      <c r="O39">
        <f t="shared" si="28"/>
        <v>4043.39</v>
      </c>
      <c r="P39">
        <f t="shared" si="29"/>
        <v>266.61</v>
      </c>
      <c r="Q39">
        <f>(ROUND((ROUND(((((ET39*1.2)*1.1))*AV39*I39),2)*BB39),2)+ROUND((ROUND(((AE39-(((EU39*1.2)*1.1)))*AV39*I39),2)*BS39),2))</f>
        <v>0</v>
      </c>
      <c r="R39">
        <f t="shared" si="30"/>
        <v>0</v>
      </c>
      <c r="S39">
        <f t="shared" si="31"/>
        <v>3776.78</v>
      </c>
      <c r="T39">
        <f t="shared" si="32"/>
        <v>0</v>
      </c>
      <c r="U39">
        <f t="shared" si="33"/>
        <v>10.9457568</v>
      </c>
      <c r="V39">
        <f t="shared" si="34"/>
        <v>0</v>
      </c>
      <c r="W39">
        <f t="shared" si="35"/>
        <v>0</v>
      </c>
      <c r="X39">
        <f t="shared" si="36"/>
        <v>2832.59</v>
      </c>
      <c r="Y39">
        <f t="shared" si="37"/>
        <v>1548.48</v>
      </c>
      <c r="AA39">
        <v>50732134</v>
      </c>
      <c r="AB39">
        <f t="shared" si="38"/>
        <v>2835.2067999999999</v>
      </c>
      <c r="AC39">
        <f>ROUND((((ES39*1)*1)),6)</f>
        <v>862.81</v>
      </c>
      <c r="AD39">
        <f>ROUND((((((ET39*1.2)*1.1))-(((EU39*1.2)*1.1)))+AE39),6)</f>
        <v>0</v>
      </c>
      <c r="AE39">
        <f>ROUND((((EU39*1.2)*1.1)),6)</f>
        <v>0</v>
      </c>
      <c r="AF39">
        <f>ROUND((((EV39*1.2)*1.1)),6)</f>
        <v>1972.3968</v>
      </c>
      <c r="AG39">
        <f t="shared" si="39"/>
        <v>0</v>
      </c>
      <c r="AH39">
        <f>(((EW39*1.2)*1.1))</f>
        <v>174.24</v>
      </c>
      <c r="AI39">
        <f>(((EX39*1.2)*1.1))</f>
        <v>0</v>
      </c>
      <c r="AJ39">
        <f t="shared" si="40"/>
        <v>0</v>
      </c>
      <c r="AK39">
        <v>2357.0500000000002</v>
      </c>
      <c r="AL39">
        <v>862.81</v>
      </c>
      <c r="AM39">
        <v>0</v>
      </c>
      <c r="AN39">
        <v>0</v>
      </c>
      <c r="AO39">
        <v>1494.24</v>
      </c>
      <c r="AP39">
        <v>0</v>
      </c>
      <c r="AQ39">
        <v>132</v>
      </c>
      <c r="AR39">
        <v>0</v>
      </c>
      <c r="AS39">
        <v>0</v>
      </c>
      <c r="AT39">
        <v>75</v>
      </c>
      <c r="AU39">
        <v>41</v>
      </c>
      <c r="AV39">
        <v>1.0469999999999999</v>
      </c>
      <c r="AW39">
        <v>1.002</v>
      </c>
      <c r="AZ39">
        <v>1</v>
      </c>
      <c r="BA39">
        <v>30.48</v>
      </c>
      <c r="BB39">
        <v>1</v>
      </c>
      <c r="BC39">
        <v>5.14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1</v>
      </c>
      <c r="BJ39" t="s">
        <v>54</v>
      </c>
      <c r="BM39">
        <v>682</v>
      </c>
      <c r="BN39">
        <v>0</v>
      </c>
      <c r="BO39" t="s">
        <v>52</v>
      </c>
      <c r="BP39">
        <v>1</v>
      </c>
      <c r="BQ39">
        <v>60</v>
      </c>
      <c r="BR39">
        <v>0</v>
      </c>
      <c r="BS39">
        <v>30.48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75</v>
      </c>
      <c r="CA39">
        <v>41</v>
      </c>
      <c r="CB39" t="s">
        <v>3</v>
      </c>
      <c r="CE39">
        <v>30</v>
      </c>
      <c r="CF39">
        <v>0</v>
      </c>
      <c r="CG39">
        <v>0</v>
      </c>
      <c r="CM39">
        <v>0</v>
      </c>
      <c r="CN39" t="s">
        <v>265</v>
      </c>
      <c r="CO39">
        <v>0</v>
      </c>
      <c r="CP39">
        <f t="shared" si="41"/>
        <v>4043.3900000000003</v>
      </c>
      <c r="CQ39">
        <f t="shared" si="42"/>
        <v>4443.74</v>
      </c>
      <c r="CR39">
        <f>(ROUND((ROUND(((((ET39*1.2)*1.1))*AV39*1),2)*BB39),2)+ROUND((ROUND(((AE39-(((EU39*1.2)*1.1)))*AV39*1),2)*BS39),2))</f>
        <v>0</v>
      </c>
      <c r="CS39">
        <f t="shared" si="43"/>
        <v>0</v>
      </c>
      <c r="CT39">
        <f t="shared" si="44"/>
        <v>62944.25</v>
      </c>
      <c r="CU39">
        <f t="shared" si="45"/>
        <v>0</v>
      </c>
      <c r="CV39">
        <f t="shared" si="46"/>
        <v>182.42928000000001</v>
      </c>
      <c r="CW39">
        <f t="shared" si="47"/>
        <v>0</v>
      </c>
      <c r="CX39">
        <f t="shared" si="48"/>
        <v>0</v>
      </c>
      <c r="CY39">
        <f t="shared" si="49"/>
        <v>2832.585</v>
      </c>
      <c r="CZ39">
        <f t="shared" si="50"/>
        <v>1548.4798000000001</v>
      </c>
      <c r="DC39" t="s">
        <v>3</v>
      </c>
      <c r="DD39" t="s">
        <v>26</v>
      </c>
      <c r="DE39" t="s">
        <v>27</v>
      </c>
      <c r="DF39" t="s">
        <v>27</v>
      </c>
      <c r="DG39" t="s">
        <v>27</v>
      </c>
      <c r="DH39" t="s">
        <v>3</v>
      </c>
      <c r="DI39" t="s">
        <v>27</v>
      </c>
      <c r="DJ39" t="s">
        <v>27</v>
      </c>
      <c r="DK39" t="s">
        <v>3</v>
      </c>
      <c r="DL39" t="s">
        <v>3</v>
      </c>
      <c r="DM39" t="s">
        <v>3</v>
      </c>
      <c r="DN39">
        <v>91</v>
      </c>
      <c r="DO39">
        <v>70</v>
      </c>
      <c r="DP39">
        <v>1.0469999999999999</v>
      </c>
      <c r="DQ39">
        <v>1.002</v>
      </c>
      <c r="DU39">
        <v>1013</v>
      </c>
      <c r="DV39" t="s">
        <v>24</v>
      </c>
      <c r="DW39" t="s">
        <v>24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50002344</v>
      </c>
      <c r="EF39">
        <v>60</v>
      </c>
      <c r="EG39" t="s">
        <v>28</v>
      </c>
      <c r="EH39">
        <v>0</v>
      </c>
      <c r="EI39" t="s">
        <v>3</v>
      </c>
      <c r="EJ39">
        <v>1</v>
      </c>
      <c r="EK39">
        <v>682</v>
      </c>
      <c r="EL39" t="s">
        <v>29</v>
      </c>
      <c r="EM39" t="s">
        <v>30</v>
      </c>
      <c r="EO39" t="s">
        <v>31</v>
      </c>
      <c r="EQ39">
        <v>0</v>
      </c>
      <c r="ER39">
        <v>2357.0500000000002</v>
      </c>
      <c r="ES39">
        <v>862.81</v>
      </c>
      <c r="ET39">
        <v>0</v>
      </c>
      <c r="EU39">
        <v>0</v>
      </c>
      <c r="EV39">
        <v>1494.24</v>
      </c>
      <c r="EW39">
        <v>132</v>
      </c>
      <c r="EX39">
        <v>0</v>
      </c>
      <c r="EY39">
        <v>0</v>
      </c>
      <c r="FQ39">
        <v>0</v>
      </c>
      <c r="FR39">
        <f t="shared" si="51"/>
        <v>0</v>
      </c>
      <c r="FS39">
        <v>0</v>
      </c>
      <c r="FX39">
        <v>91</v>
      </c>
      <c r="FY39">
        <v>70</v>
      </c>
      <c r="GA39" t="s">
        <v>3</v>
      </c>
      <c r="GD39">
        <v>0</v>
      </c>
      <c r="GF39">
        <v>1570428321</v>
      </c>
      <c r="GG39">
        <v>2</v>
      </c>
      <c r="GH39">
        <v>1</v>
      </c>
      <c r="GI39">
        <v>2</v>
      </c>
      <c r="GJ39">
        <v>0</v>
      </c>
      <c r="GK39">
        <f>ROUND(R39*(R12)/100,2)</f>
        <v>0</v>
      </c>
      <c r="GL39">
        <f t="shared" si="52"/>
        <v>0</v>
      </c>
      <c r="GM39">
        <f t="shared" si="53"/>
        <v>8424.4599999999991</v>
      </c>
      <c r="GN39">
        <f t="shared" si="54"/>
        <v>8424.4599999999991</v>
      </c>
      <c r="GO39">
        <f t="shared" si="55"/>
        <v>0</v>
      </c>
      <c r="GP39">
        <f t="shared" si="56"/>
        <v>0</v>
      </c>
      <c r="GR39">
        <v>0</v>
      </c>
      <c r="GS39">
        <v>3</v>
      </c>
      <c r="GT39">
        <v>0</v>
      </c>
      <c r="GU39" t="s">
        <v>3</v>
      </c>
      <c r="GV39">
        <f t="shared" si="57"/>
        <v>0</v>
      </c>
      <c r="GW39">
        <v>1</v>
      </c>
      <c r="GX39">
        <f t="shared" si="58"/>
        <v>0</v>
      </c>
      <c r="HA39">
        <v>0</v>
      </c>
      <c r="HB39">
        <v>0</v>
      </c>
      <c r="HC39">
        <f t="shared" si="59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E40" t="s">
        <v>55</v>
      </c>
      <c r="F40" t="s">
        <v>56</v>
      </c>
      <c r="G40" t="s">
        <v>57</v>
      </c>
      <c r="H40" t="s">
        <v>58</v>
      </c>
      <c r="I40">
        <v>0.12</v>
      </c>
      <c r="J40">
        <v>0</v>
      </c>
      <c r="K40">
        <v>0.12</v>
      </c>
      <c r="O40">
        <f t="shared" si="28"/>
        <v>774.66</v>
      </c>
      <c r="P40">
        <f t="shared" si="29"/>
        <v>774.66</v>
      </c>
      <c r="Q40">
        <f>(ROUND((ROUND(((ET40)*AV40*I40),2)*BB40),2)+ROUND((ROUND(((AE40-(EU40))*AV40*I40),2)*BS40),2))</f>
        <v>0</v>
      </c>
      <c r="R40">
        <f t="shared" si="30"/>
        <v>0</v>
      </c>
      <c r="S40">
        <f t="shared" si="31"/>
        <v>0</v>
      </c>
      <c r="T40">
        <f t="shared" si="32"/>
        <v>0</v>
      </c>
      <c r="U40">
        <f t="shared" si="33"/>
        <v>0</v>
      </c>
      <c r="V40">
        <f t="shared" si="34"/>
        <v>0</v>
      </c>
      <c r="W40">
        <f t="shared" si="35"/>
        <v>0</v>
      </c>
      <c r="X40">
        <f t="shared" si="36"/>
        <v>0</v>
      </c>
      <c r="Y40">
        <f t="shared" si="37"/>
        <v>0</v>
      </c>
      <c r="AA40">
        <v>50732134</v>
      </c>
      <c r="AB40">
        <f t="shared" si="38"/>
        <v>735.27</v>
      </c>
      <c r="AC40">
        <f>ROUND((ES40),6)</f>
        <v>735.27</v>
      </c>
      <c r="AD40">
        <f>ROUND((((ET40)-(EU40))+AE40),6)</f>
        <v>0</v>
      </c>
      <c r="AE40">
        <f>ROUND((EU40),6)</f>
        <v>0</v>
      </c>
      <c r="AF40">
        <f>ROUND((EV40),6)</f>
        <v>0</v>
      </c>
      <c r="AG40">
        <f t="shared" si="39"/>
        <v>0</v>
      </c>
      <c r="AH40">
        <f>(EW40)</f>
        <v>0</v>
      </c>
      <c r="AI40">
        <f>(EX40)</f>
        <v>0</v>
      </c>
      <c r="AJ40">
        <f t="shared" si="40"/>
        <v>0</v>
      </c>
      <c r="AK40">
        <v>735.27</v>
      </c>
      <c r="AL40">
        <v>735.27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8.7799999999999994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1</v>
      </c>
      <c r="BJ40" t="s">
        <v>59</v>
      </c>
      <c r="BM40">
        <v>1617</v>
      </c>
      <c r="BN40">
        <v>0</v>
      </c>
      <c r="BO40" t="s">
        <v>56</v>
      </c>
      <c r="BP40">
        <v>1</v>
      </c>
      <c r="BQ40">
        <v>200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0</v>
      </c>
      <c r="CA40">
        <v>0</v>
      </c>
      <c r="CB40" t="s">
        <v>3</v>
      </c>
      <c r="CE40">
        <v>30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1"/>
        <v>774.66</v>
      </c>
      <c r="CQ40">
        <f t="shared" si="42"/>
        <v>6455.67</v>
      </c>
      <c r="CR40">
        <f>(ROUND((ROUND(((ET40)*AV40*1),2)*BB40),2)+ROUND((ROUND(((AE40-(EU40))*AV40*1),2)*BS40),2))</f>
        <v>0</v>
      </c>
      <c r="CS40">
        <f t="shared" si="43"/>
        <v>0</v>
      </c>
      <c r="CT40">
        <f t="shared" si="44"/>
        <v>0</v>
      </c>
      <c r="CU40">
        <f t="shared" si="45"/>
        <v>0</v>
      </c>
      <c r="CV40">
        <f t="shared" si="46"/>
        <v>0</v>
      </c>
      <c r="CW40">
        <f t="shared" si="47"/>
        <v>0</v>
      </c>
      <c r="CX40">
        <f t="shared" si="48"/>
        <v>0</v>
      </c>
      <c r="CY40">
        <f t="shared" si="49"/>
        <v>0</v>
      </c>
      <c r="CZ40">
        <f t="shared" si="50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1007</v>
      </c>
      <c r="DV40" t="s">
        <v>58</v>
      </c>
      <c r="DW40" t="s">
        <v>58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50003279</v>
      </c>
      <c r="EF40">
        <v>200</v>
      </c>
      <c r="EG40" t="s">
        <v>48</v>
      </c>
      <c r="EH40">
        <v>0</v>
      </c>
      <c r="EI40" t="s">
        <v>3</v>
      </c>
      <c r="EJ40">
        <v>1</v>
      </c>
      <c r="EK40">
        <v>1617</v>
      </c>
      <c r="EL40" t="s">
        <v>49</v>
      </c>
      <c r="EM40" t="s">
        <v>50</v>
      </c>
      <c r="EO40" t="s">
        <v>3</v>
      </c>
      <c r="EQ40">
        <v>0</v>
      </c>
      <c r="ER40">
        <v>735.27</v>
      </c>
      <c r="ES40">
        <v>735.27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FQ40">
        <v>0</v>
      </c>
      <c r="FR40">
        <f t="shared" si="51"/>
        <v>0</v>
      </c>
      <c r="FS40">
        <v>0</v>
      </c>
      <c r="FX40">
        <v>0</v>
      </c>
      <c r="FY40">
        <v>0</v>
      </c>
      <c r="GA40" t="s">
        <v>3</v>
      </c>
      <c r="GD40">
        <v>0</v>
      </c>
      <c r="GF40">
        <v>-1796113097</v>
      </c>
      <c r="GG40">
        <v>2</v>
      </c>
      <c r="GH40">
        <v>1</v>
      </c>
      <c r="GI40">
        <v>2</v>
      </c>
      <c r="GJ40">
        <v>0</v>
      </c>
      <c r="GK40">
        <f>ROUND(R40*(R12)/100,2)</f>
        <v>0</v>
      </c>
      <c r="GL40">
        <f t="shared" si="52"/>
        <v>0</v>
      </c>
      <c r="GM40">
        <f t="shared" si="53"/>
        <v>774.66</v>
      </c>
      <c r="GN40">
        <f t="shared" si="54"/>
        <v>774.66</v>
      </c>
      <c r="GO40">
        <f t="shared" si="55"/>
        <v>0</v>
      </c>
      <c r="GP40">
        <f t="shared" si="56"/>
        <v>0</v>
      </c>
      <c r="GR40">
        <v>0</v>
      </c>
      <c r="GS40">
        <v>3</v>
      </c>
      <c r="GT40">
        <v>0</v>
      </c>
      <c r="GU40" t="s">
        <v>3</v>
      </c>
      <c r="GV40">
        <f t="shared" si="57"/>
        <v>0</v>
      </c>
      <c r="GW40">
        <v>1</v>
      </c>
      <c r="GX40">
        <f t="shared" si="58"/>
        <v>0</v>
      </c>
      <c r="HA40">
        <v>0</v>
      </c>
      <c r="HB40">
        <v>0</v>
      </c>
      <c r="HC40">
        <f t="shared" si="59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E41" t="s">
        <v>60</v>
      </c>
      <c r="F41" t="s">
        <v>61</v>
      </c>
      <c r="G41" t="s">
        <v>62</v>
      </c>
      <c r="H41" t="s">
        <v>63</v>
      </c>
      <c r="I41">
        <v>4</v>
      </c>
      <c r="J41">
        <v>0</v>
      </c>
      <c r="K41">
        <v>4</v>
      </c>
      <c r="O41">
        <f t="shared" si="28"/>
        <v>410.57</v>
      </c>
      <c r="P41">
        <f t="shared" si="29"/>
        <v>410.57</v>
      </c>
      <c r="Q41">
        <f>(ROUND((ROUND(((ET41)*AV41*I41),2)*BB41),2)+ROUND((ROUND(((AE41-(EU41))*AV41*I41),2)*BS41),2))</f>
        <v>0</v>
      </c>
      <c r="R41">
        <f t="shared" si="30"/>
        <v>0</v>
      </c>
      <c r="S41">
        <f t="shared" si="31"/>
        <v>0</v>
      </c>
      <c r="T41">
        <f t="shared" si="32"/>
        <v>0</v>
      </c>
      <c r="U41">
        <f t="shared" si="33"/>
        <v>0</v>
      </c>
      <c r="V41">
        <f t="shared" si="34"/>
        <v>0</v>
      </c>
      <c r="W41">
        <f t="shared" si="35"/>
        <v>0</v>
      </c>
      <c r="X41">
        <f t="shared" si="36"/>
        <v>0</v>
      </c>
      <c r="Y41">
        <f t="shared" si="37"/>
        <v>0</v>
      </c>
      <c r="AA41">
        <v>50732134</v>
      </c>
      <c r="AB41">
        <f t="shared" si="38"/>
        <v>9.86</v>
      </c>
      <c r="AC41">
        <f>ROUND((ES41),6)</f>
        <v>9.86</v>
      </c>
      <c r="AD41">
        <f>ROUND((((ET41)-(EU41))+AE41),6)</f>
        <v>0</v>
      </c>
      <c r="AE41">
        <f>ROUND((EU41),6)</f>
        <v>0</v>
      </c>
      <c r="AF41">
        <f>ROUND((EV41),6)</f>
        <v>0</v>
      </c>
      <c r="AG41">
        <f t="shared" si="39"/>
        <v>0</v>
      </c>
      <c r="AH41">
        <f>(EW41)</f>
        <v>0</v>
      </c>
      <c r="AI41">
        <f>(EX41)</f>
        <v>0</v>
      </c>
      <c r="AJ41">
        <f t="shared" si="40"/>
        <v>0</v>
      </c>
      <c r="AK41">
        <v>9.86</v>
      </c>
      <c r="AL41">
        <v>9.86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10.41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1</v>
      </c>
      <c r="BJ41" t="s">
        <v>64</v>
      </c>
      <c r="BM41">
        <v>1617</v>
      </c>
      <c r="BN41">
        <v>0</v>
      </c>
      <c r="BO41" t="s">
        <v>61</v>
      </c>
      <c r="BP41">
        <v>1</v>
      </c>
      <c r="BQ41">
        <v>200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0</v>
      </c>
      <c r="CA41">
        <v>0</v>
      </c>
      <c r="CB41" t="s">
        <v>3</v>
      </c>
      <c r="CE41">
        <v>30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1"/>
        <v>410.57</v>
      </c>
      <c r="CQ41">
        <f t="shared" si="42"/>
        <v>102.64</v>
      </c>
      <c r="CR41">
        <f>(ROUND((ROUND(((ET41)*AV41*1),2)*BB41),2)+ROUND((ROUND(((AE41-(EU41))*AV41*1),2)*BS41),2))</f>
        <v>0</v>
      </c>
      <c r="CS41">
        <f t="shared" si="43"/>
        <v>0</v>
      </c>
      <c r="CT41">
        <f t="shared" si="44"/>
        <v>0</v>
      </c>
      <c r="CU41">
        <f t="shared" si="45"/>
        <v>0</v>
      </c>
      <c r="CV41">
        <f t="shared" si="46"/>
        <v>0</v>
      </c>
      <c r="CW41">
        <f t="shared" si="47"/>
        <v>0</v>
      </c>
      <c r="CX41">
        <f t="shared" si="48"/>
        <v>0</v>
      </c>
      <c r="CY41">
        <f t="shared" si="49"/>
        <v>0</v>
      </c>
      <c r="CZ41">
        <f t="shared" si="50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1009</v>
      </c>
      <c r="DV41" t="s">
        <v>63</v>
      </c>
      <c r="DW41" t="s">
        <v>63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50003279</v>
      </c>
      <c r="EF41">
        <v>200</v>
      </c>
      <c r="EG41" t="s">
        <v>48</v>
      </c>
      <c r="EH41">
        <v>0</v>
      </c>
      <c r="EI41" t="s">
        <v>3</v>
      </c>
      <c r="EJ41">
        <v>1</v>
      </c>
      <c r="EK41">
        <v>1617</v>
      </c>
      <c r="EL41" t="s">
        <v>49</v>
      </c>
      <c r="EM41" t="s">
        <v>50</v>
      </c>
      <c r="EO41" t="s">
        <v>3</v>
      </c>
      <c r="EQ41">
        <v>0</v>
      </c>
      <c r="ER41">
        <v>9.86</v>
      </c>
      <c r="ES41">
        <v>9.86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FQ41">
        <v>0</v>
      </c>
      <c r="FR41">
        <f t="shared" si="51"/>
        <v>0</v>
      </c>
      <c r="FS41">
        <v>0</v>
      </c>
      <c r="FX41">
        <v>0</v>
      </c>
      <c r="FY41">
        <v>0</v>
      </c>
      <c r="GA41" t="s">
        <v>3</v>
      </c>
      <c r="GD41">
        <v>0</v>
      </c>
      <c r="GF41">
        <v>1241994263</v>
      </c>
      <c r="GG41">
        <v>2</v>
      </c>
      <c r="GH41">
        <v>1</v>
      </c>
      <c r="GI41">
        <v>2</v>
      </c>
      <c r="GJ41">
        <v>0</v>
      </c>
      <c r="GK41">
        <f>ROUND(R41*(R12)/100,2)</f>
        <v>0</v>
      </c>
      <c r="GL41">
        <f t="shared" si="52"/>
        <v>0</v>
      </c>
      <c r="GM41">
        <f t="shared" si="53"/>
        <v>410.57</v>
      </c>
      <c r="GN41">
        <f t="shared" si="54"/>
        <v>410.57</v>
      </c>
      <c r="GO41">
        <f t="shared" si="55"/>
        <v>0</v>
      </c>
      <c r="GP41">
        <f t="shared" si="56"/>
        <v>0</v>
      </c>
      <c r="GR41">
        <v>0</v>
      </c>
      <c r="GS41">
        <v>3</v>
      </c>
      <c r="GT41">
        <v>0</v>
      </c>
      <c r="GU41" t="s">
        <v>3</v>
      </c>
      <c r="GV41">
        <f t="shared" si="57"/>
        <v>0</v>
      </c>
      <c r="GW41">
        <v>1</v>
      </c>
      <c r="GX41">
        <f t="shared" si="58"/>
        <v>0</v>
      </c>
      <c r="HA41">
        <v>0</v>
      </c>
      <c r="HB41">
        <v>0</v>
      </c>
      <c r="HC41">
        <f t="shared" si="59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17</v>
      </c>
      <c r="B42">
        <v>1</v>
      </c>
      <c r="E42" t="s">
        <v>65</v>
      </c>
      <c r="F42" t="s">
        <v>66</v>
      </c>
      <c r="G42" t="s">
        <v>67</v>
      </c>
      <c r="H42" t="s">
        <v>68</v>
      </c>
      <c r="I42">
        <f>ROUND(150/10,9)</f>
        <v>15</v>
      </c>
      <c r="J42">
        <v>0</v>
      </c>
      <c r="K42">
        <f>ROUND(150/10,9)</f>
        <v>15</v>
      </c>
      <c r="O42">
        <f t="shared" si="28"/>
        <v>8345.9599999999991</v>
      </c>
      <c r="P42">
        <f t="shared" si="29"/>
        <v>67.05</v>
      </c>
      <c r="Q42">
        <f>(ROUND((ROUND(((((ET42*1.2)*1.1))*AV42*I42),2)*BB42),2)+ROUND((ROUND(((AE42-(((EU42*1.2)*1.1)))*AV42*I42),2)*BS42),2))</f>
        <v>380.63</v>
      </c>
      <c r="R42">
        <f t="shared" si="30"/>
        <v>0</v>
      </c>
      <c r="S42">
        <f t="shared" si="31"/>
        <v>7898.28</v>
      </c>
      <c r="T42">
        <f t="shared" si="32"/>
        <v>0</v>
      </c>
      <c r="U42">
        <f t="shared" si="33"/>
        <v>17.828316000000001</v>
      </c>
      <c r="V42">
        <f t="shared" si="34"/>
        <v>0</v>
      </c>
      <c r="W42">
        <f t="shared" si="35"/>
        <v>0</v>
      </c>
      <c r="X42">
        <f t="shared" si="36"/>
        <v>5923.71</v>
      </c>
      <c r="Y42">
        <f t="shared" si="37"/>
        <v>3238.29</v>
      </c>
      <c r="AA42">
        <v>50732134</v>
      </c>
      <c r="AB42">
        <f t="shared" si="38"/>
        <v>20.091200000000001</v>
      </c>
      <c r="AC42">
        <f>ROUND((((ES42*1)*1)),6)</f>
        <v>0.74</v>
      </c>
      <c r="AD42">
        <f>ROUND((((((ET42*1.2)*1.1))-(((EU42*1.2)*1.1)))+AE42),6)</f>
        <v>2.8512</v>
      </c>
      <c r="AE42">
        <f>ROUND((((EU42*1.2)*1.1)),6)</f>
        <v>0</v>
      </c>
      <c r="AF42">
        <f>ROUND((((EV42*1.2)*1.1)),6)</f>
        <v>16.5</v>
      </c>
      <c r="AG42">
        <f t="shared" si="39"/>
        <v>0</v>
      </c>
      <c r="AH42">
        <f>(((EW42*1.2)*1.1))</f>
        <v>1.1352000000000002</v>
      </c>
      <c r="AI42">
        <f>(((EX42*1.2)*1.1))</f>
        <v>0</v>
      </c>
      <c r="AJ42">
        <f t="shared" si="40"/>
        <v>0</v>
      </c>
      <c r="AK42">
        <v>15.4</v>
      </c>
      <c r="AL42">
        <v>0.74</v>
      </c>
      <c r="AM42">
        <v>2.16</v>
      </c>
      <c r="AN42">
        <v>0</v>
      </c>
      <c r="AO42">
        <v>12.5</v>
      </c>
      <c r="AP42">
        <v>0</v>
      </c>
      <c r="AQ42">
        <v>0.86</v>
      </c>
      <c r="AR42">
        <v>0</v>
      </c>
      <c r="AS42">
        <v>0</v>
      </c>
      <c r="AT42">
        <v>75</v>
      </c>
      <c r="AU42">
        <v>41</v>
      </c>
      <c r="AV42">
        <v>1.0469999999999999</v>
      </c>
      <c r="AW42">
        <v>1.002</v>
      </c>
      <c r="AZ42">
        <v>1</v>
      </c>
      <c r="BA42">
        <v>30.48</v>
      </c>
      <c r="BB42">
        <v>8.5</v>
      </c>
      <c r="BC42">
        <v>6.03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1</v>
      </c>
      <c r="BJ42" t="s">
        <v>69</v>
      </c>
      <c r="BM42">
        <v>682</v>
      </c>
      <c r="BN42">
        <v>0</v>
      </c>
      <c r="BO42" t="s">
        <v>66</v>
      </c>
      <c r="BP42">
        <v>1</v>
      </c>
      <c r="BQ42">
        <v>60</v>
      </c>
      <c r="BR42">
        <v>0</v>
      </c>
      <c r="BS42">
        <v>30.48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75</v>
      </c>
      <c r="CA42">
        <v>41</v>
      </c>
      <c r="CB42" t="s">
        <v>3</v>
      </c>
      <c r="CE42">
        <v>30</v>
      </c>
      <c r="CF42">
        <v>0</v>
      </c>
      <c r="CG42">
        <v>0</v>
      </c>
      <c r="CM42">
        <v>0</v>
      </c>
      <c r="CN42" t="s">
        <v>265</v>
      </c>
      <c r="CO42">
        <v>0</v>
      </c>
      <c r="CP42">
        <f t="shared" si="41"/>
        <v>8345.9599999999991</v>
      </c>
      <c r="CQ42">
        <f t="shared" si="42"/>
        <v>4.46</v>
      </c>
      <c r="CR42">
        <f>(ROUND((ROUND(((((ET42*1.2)*1.1))*AV42*1),2)*BB42),2)+ROUND((ROUND(((AE42-(((EU42*1.2)*1.1)))*AV42*1),2)*BS42),2))</f>
        <v>25.42</v>
      </c>
      <c r="CS42">
        <f t="shared" si="43"/>
        <v>0</v>
      </c>
      <c r="CT42">
        <f t="shared" si="44"/>
        <v>526.69000000000005</v>
      </c>
      <c r="CU42">
        <f t="shared" si="45"/>
        <v>0</v>
      </c>
      <c r="CV42">
        <f t="shared" si="46"/>
        <v>1.1885544000000001</v>
      </c>
      <c r="CW42">
        <f t="shared" si="47"/>
        <v>0</v>
      </c>
      <c r="CX42">
        <f t="shared" si="48"/>
        <v>0</v>
      </c>
      <c r="CY42">
        <f t="shared" si="49"/>
        <v>5923.71</v>
      </c>
      <c r="CZ42">
        <f t="shared" si="50"/>
        <v>3238.2947999999997</v>
      </c>
      <c r="DC42" t="s">
        <v>3</v>
      </c>
      <c r="DD42" t="s">
        <v>26</v>
      </c>
      <c r="DE42" t="s">
        <v>27</v>
      </c>
      <c r="DF42" t="s">
        <v>27</v>
      </c>
      <c r="DG42" t="s">
        <v>27</v>
      </c>
      <c r="DH42" t="s">
        <v>3</v>
      </c>
      <c r="DI42" t="s">
        <v>27</v>
      </c>
      <c r="DJ42" t="s">
        <v>27</v>
      </c>
      <c r="DK42" t="s">
        <v>3</v>
      </c>
      <c r="DL42" t="s">
        <v>3</v>
      </c>
      <c r="DM42" t="s">
        <v>3</v>
      </c>
      <c r="DN42">
        <v>91</v>
      </c>
      <c r="DO42">
        <v>70</v>
      </c>
      <c r="DP42">
        <v>1.0469999999999999</v>
      </c>
      <c r="DQ42">
        <v>1.002</v>
      </c>
      <c r="DU42">
        <v>1013</v>
      </c>
      <c r="DV42" t="s">
        <v>68</v>
      </c>
      <c r="DW42" t="s">
        <v>68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50002344</v>
      </c>
      <c r="EF42">
        <v>60</v>
      </c>
      <c r="EG42" t="s">
        <v>28</v>
      </c>
      <c r="EH42">
        <v>0</v>
      </c>
      <c r="EI42" t="s">
        <v>3</v>
      </c>
      <c r="EJ42">
        <v>1</v>
      </c>
      <c r="EK42">
        <v>682</v>
      </c>
      <c r="EL42" t="s">
        <v>29</v>
      </c>
      <c r="EM42" t="s">
        <v>30</v>
      </c>
      <c r="EO42" t="s">
        <v>31</v>
      </c>
      <c r="EQ42">
        <v>0</v>
      </c>
      <c r="ER42">
        <v>15.4</v>
      </c>
      <c r="ES42">
        <v>0.74</v>
      </c>
      <c r="ET42">
        <v>2.16</v>
      </c>
      <c r="EU42">
        <v>0</v>
      </c>
      <c r="EV42">
        <v>12.5</v>
      </c>
      <c r="EW42">
        <v>0.86</v>
      </c>
      <c r="EX42">
        <v>0</v>
      </c>
      <c r="EY42">
        <v>0</v>
      </c>
      <c r="FQ42">
        <v>0</v>
      </c>
      <c r="FR42">
        <f t="shared" si="51"/>
        <v>0</v>
      </c>
      <c r="FS42">
        <v>0</v>
      </c>
      <c r="FX42">
        <v>91</v>
      </c>
      <c r="FY42">
        <v>70</v>
      </c>
      <c r="GA42" t="s">
        <v>3</v>
      </c>
      <c r="GD42">
        <v>0</v>
      </c>
      <c r="GF42">
        <v>-513130711</v>
      </c>
      <c r="GG42">
        <v>2</v>
      </c>
      <c r="GH42">
        <v>1</v>
      </c>
      <c r="GI42">
        <v>2</v>
      </c>
      <c r="GJ42">
        <v>0</v>
      </c>
      <c r="GK42">
        <f>ROUND(R42*(R12)/100,2)</f>
        <v>0</v>
      </c>
      <c r="GL42">
        <f t="shared" si="52"/>
        <v>0</v>
      </c>
      <c r="GM42">
        <f t="shared" si="53"/>
        <v>17507.96</v>
      </c>
      <c r="GN42">
        <f t="shared" si="54"/>
        <v>17507.96</v>
      </c>
      <c r="GO42">
        <f t="shared" si="55"/>
        <v>0</v>
      </c>
      <c r="GP42">
        <f t="shared" si="56"/>
        <v>0</v>
      </c>
      <c r="GR42">
        <v>0</v>
      </c>
      <c r="GS42">
        <v>3</v>
      </c>
      <c r="GT42">
        <v>0</v>
      </c>
      <c r="GU42" t="s">
        <v>3</v>
      </c>
      <c r="GV42">
        <f t="shared" si="57"/>
        <v>0</v>
      </c>
      <c r="GW42">
        <v>1</v>
      </c>
      <c r="GX42">
        <f t="shared" si="58"/>
        <v>0</v>
      </c>
      <c r="HA42">
        <v>0</v>
      </c>
      <c r="HB42">
        <v>0</v>
      </c>
      <c r="HC42">
        <f t="shared" si="59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3" spans="1:245" x14ac:dyDescent="0.2">
      <c r="A43">
        <v>17</v>
      </c>
      <c r="B43">
        <v>1</v>
      </c>
      <c r="E43" t="s">
        <v>70</v>
      </c>
      <c r="F43" t="s">
        <v>71</v>
      </c>
      <c r="G43" t="s">
        <v>72</v>
      </c>
      <c r="H43" t="s">
        <v>73</v>
      </c>
      <c r="I43">
        <v>0.153</v>
      </c>
      <c r="J43">
        <v>0</v>
      </c>
      <c r="K43">
        <v>0.153</v>
      </c>
      <c r="O43">
        <f t="shared" si="28"/>
        <v>5700.92</v>
      </c>
      <c r="P43">
        <f t="shared" si="29"/>
        <v>5700.92</v>
      </c>
      <c r="Q43">
        <f>(ROUND((ROUND(((ET43)*AV43*I43),2)*BB43),2)+ROUND((ROUND(((AE43-(EU43))*AV43*I43),2)*BS43),2))</f>
        <v>0</v>
      </c>
      <c r="R43">
        <f t="shared" si="30"/>
        <v>0</v>
      </c>
      <c r="S43">
        <f t="shared" si="31"/>
        <v>0</v>
      </c>
      <c r="T43">
        <f t="shared" si="32"/>
        <v>0</v>
      </c>
      <c r="U43">
        <f t="shared" si="33"/>
        <v>0</v>
      </c>
      <c r="V43">
        <f t="shared" si="34"/>
        <v>0</v>
      </c>
      <c r="W43">
        <f t="shared" si="35"/>
        <v>0</v>
      </c>
      <c r="X43">
        <f t="shared" si="36"/>
        <v>0</v>
      </c>
      <c r="Y43">
        <f t="shared" si="37"/>
        <v>0</v>
      </c>
      <c r="AA43">
        <v>50732134</v>
      </c>
      <c r="AB43">
        <f t="shared" si="38"/>
        <v>14555.02</v>
      </c>
      <c r="AC43">
        <f>ROUND((ES43),6)</f>
        <v>14555.02</v>
      </c>
      <c r="AD43">
        <f>ROUND((((ET43)-(EU43))+AE43),6)</f>
        <v>0</v>
      </c>
      <c r="AE43">
        <f>ROUND((EU43),6)</f>
        <v>0</v>
      </c>
      <c r="AF43">
        <f>ROUND((EV43),6)</f>
        <v>0</v>
      </c>
      <c r="AG43">
        <f t="shared" si="39"/>
        <v>0</v>
      </c>
      <c r="AH43">
        <f>(EW43)</f>
        <v>0</v>
      </c>
      <c r="AI43">
        <f>(EX43)</f>
        <v>0</v>
      </c>
      <c r="AJ43">
        <f t="shared" si="40"/>
        <v>0</v>
      </c>
      <c r="AK43">
        <v>14555.02</v>
      </c>
      <c r="AL43">
        <v>14555.02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2.56</v>
      </c>
      <c r="BD43" t="s">
        <v>3</v>
      </c>
      <c r="BE43" t="s">
        <v>3</v>
      </c>
      <c r="BF43" t="s">
        <v>3</v>
      </c>
      <c r="BG43" t="s">
        <v>3</v>
      </c>
      <c r="BH43">
        <v>3</v>
      </c>
      <c r="BI43">
        <v>1</v>
      </c>
      <c r="BJ43" t="s">
        <v>74</v>
      </c>
      <c r="BM43">
        <v>1617</v>
      </c>
      <c r="BN43">
        <v>0</v>
      </c>
      <c r="BO43" t="s">
        <v>71</v>
      </c>
      <c r="BP43">
        <v>1</v>
      </c>
      <c r="BQ43">
        <v>200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0</v>
      </c>
      <c r="CA43">
        <v>0</v>
      </c>
      <c r="CB43" t="s">
        <v>3</v>
      </c>
      <c r="CE43">
        <v>30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1"/>
        <v>5700.92</v>
      </c>
      <c r="CQ43">
        <f t="shared" si="42"/>
        <v>37260.85</v>
      </c>
      <c r="CR43">
        <f>(ROUND((ROUND(((ET43)*AV43*1),2)*BB43),2)+ROUND((ROUND(((AE43-(EU43))*AV43*1),2)*BS43),2))</f>
        <v>0</v>
      </c>
      <c r="CS43">
        <f t="shared" si="43"/>
        <v>0</v>
      </c>
      <c r="CT43">
        <f t="shared" si="44"/>
        <v>0</v>
      </c>
      <c r="CU43">
        <f t="shared" si="45"/>
        <v>0</v>
      </c>
      <c r="CV43">
        <f t="shared" si="46"/>
        <v>0</v>
      </c>
      <c r="CW43">
        <f t="shared" si="47"/>
        <v>0</v>
      </c>
      <c r="CX43">
        <f t="shared" si="48"/>
        <v>0</v>
      </c>
      <c r="CY43">
        <f t="shared" si="49"/>
        <v>0</v>
      </c>
      <c r="CZ43">
        <f t="shared" si="50"/>
        <v>0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1010</v>
      </c>
      <c r="DV43" t="s">
        <v>73</v>
      </c>
      <c r="DW43" t="s">
        <v>73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50003279</v>
      </c>
      <c r="EF43">
        <v>200</v>
      </c>
      <c r="EG43" t="s">
        <v>48</v>
      </c>
      <c r="EH43">
        <v>0</v>
      </c>
      <c r="EI43" t="s">
        <v>3</v>
      </c>
      <c r="EJ43">
        <v>1</v>
      </c>
      <c r="EK43">
        <v>1617</v>
      </c>
      <c r="EL43" t="s">
        <v>49</v>
      </c>
      <c r="EM43" t="s">
        <v>50</v>
      </c>
      <c r="EO43" t="s">
        <v>3</v>
      </c>
      <c r="EQ43">
        <v>0</v>
      </c>
      <c r="ER43">
        <v>14555.02</v>
      </c>
      <c r="ES43">
        <v>14555.02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FQ43">
        <v>0</v>
      </c>
      <c r="FR43">
        <f t="shared" si="51"/>
        <v>0</v>
      </c>
      <c r="FS43">
        <v>0</v>
      </c>
      <c r="FX43">
        <v>0</v>
      </c>
      <c r="FY43">
        <v>0</v>
      </c>
      <c r="GA43" t="s">
        <v>3</v>
      </c>
      <c r="GD43">
        <v>0</v>
      </c>
      <c r="GF43">
        <v>-1549515742</v>
      </c>
      <c r="GG43">
        <v>2</v>
      </c>
      <c r="GH43">
        <v>1</v>
      </c>
      <c r="GI43">
        <v>2</v>
      </c>
      <c r="GJ43">
        <v>0</v>
      </c>
      <c r="GK43">
        <f>ROUND(R43*(R12)/100,2)</f>
        <v>0</v>
      </c>
      <c r="GL43">
        <f t="shared" si="52"/>
        <v>0</v>
      </c>
      <c r="GM43">
        <f t="shared" si="53"/>
        <v>5700.92</v>
      </c>
      <c r="GN43">
        <f t="shared" si="54"/>
        <v>5700.92</v>
      </c>
      <c r="GO43">
        <f t="shared" si="55"/>
        <v>0</v>
      </c>
      <c r="GP43">
        <f t="shared" si="56"/>
        <v>0</v>
      </c>
      <c r="GR43">
        <v>0</v>
      </c>
      <c r="GS43">
        <v>3</v>
      </c>
      <c r="GT43">
        <v>0</v>
      </c>
      <c r="GU43" t="s">
        <v>3</v>
      </c>
      <c r="GV43">
        <f t="shared" si="57"/>
        <v>0</v>
      </c>
      <c r="GW43">
        <v>1</v>
      </c>
      <c r="GX43">
        <f t="shared" si="58"/>
        <v>0</v>
      </c>
      <c r="HA43">
        <v>0</v>
      </c>
      <c r="HB43">
        <v>0</v>
      </c>
      <c r="HC43">
        <f t="shared" si="59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4" spans="1:245" x14ac:dyDescent="0.2">
      <c r="A44">
        <v>17</v>
      </c>
      <c r="B44">
        <v>1</v>
      </c>
      <c r="E44" t="s">
        <v>75</v>
      </c>
      <c r="F44" t="s">
        <v>33</v>
      </c>
      <c r="G44" t="s">
        <v>34</v>
      </c>
      <c r="H44" t="s">
        <v>35</v>
      </c>
      <c r="I44">
        <f>ROUND(6.2/1000,9)</f>
        <v>6.1999999999999998E-3</v>
      </c>
      <c r="J44">
        <v>0</v>
      </c>
      <c r="K44">
        <f>ROUND(6.2/1000,9)</f>
        <v>6.1999999999999998E-3</v>
      </c>
      <c r="O44">
        <f t="shared" si="28"/>
        <v>1419.36</v>
      </c>
      <c r="P44">
        <f t="shared" si="29"/>
        <v>990.81</v>
      </c>
      <c r="Q44">
        <f>(ROUND((ROUND(((((ET44*1.2)*1.1))*AV44*I44),2)*BB44),2)+ROUND((ROUND(((AE44-(((EU44*1.2)*1.1)))*AV44*I44),2)*BS44),2))</f>
        <v>0</v>
      </c>
      <c r="R44">
        <f t="shared" si="30"/>
        <v>0</v>
      </c>
      <c r="S44">
        <f t="shared" si="31"/>
        <v>428.55</v>
      </c>
      <c r="T44">
        <f t="shared" si="32"/>
        <v>0</v>
      </c>
      <c r="U44">
        <f t="shared" si="33"/>
        <v>1.2574552319999999</v>
      </c>
      <c r="V44">
        <f t="shared" si="34"/>
        <v>0</v>
      </c>
      <c r="W44">
        <f t="shared" si="35"/>
        <v>0</v>
      </c>
      <c r="X44">
        <f t="shared" si="36"/>
        <v>394.27</v>
      </c>
      <c r="Y44">
        <f t="shared" si="37"/>
        <v>175.71</v>
      </c>
      <c r="AA44">
        <v>50732134</v>
      </c>
      <c r="AB44">
        <f t="shared" si="38"/>
        <v>21679.234400000001</v>
      </c>
      <c r="AC44">
        <f>ROUND((((ES44*1)*1)),6)</f>
        <v>19554.14</v>
      </c>
      <c r="AD44">
        <f>ROUND((((((ET44*1.2)*1.1))-(((EU44*1.2)*1.1)))+AE44),6)</f>
        <v>0</v>
      </c>
      <c r="AE44">
        <f>ROUND((((EU44*1.2)*1.1)),6)</f>
        <v>0</v>
      </c>
      <c r="AF44">
        <f>ROUND((((EV44*1.2)*1.1)),6)</f>
        <v>2125.0944</v>
      </c>
      <c r="AG44">
        <f t="shared" si="39"/>
        <v>0</v>
      </c>
      <c r="AH44">
        <f>(((EW44*1.2)*1.1))</f>
        <v>190.07999999999998</v>
      </c>
      <c r="AI44">
        <f>(((EX44*1.2)*1.1))</f>
        <v>0</v>
      </c>
      <c r="AJ44">
        <f t="shared" si="40"/>
        <v>0</v>
      </c>
      <c r="AK44">
        <v>21164.06</v>
      </c>
      <c r="AL44">
        <v>19554.14</v>
      </c>
      <c r="AM44">
        <v>0</v>
      </c>
      <c r="AN44">
        <v>0</v>
      </c>
      <c r="AO44">
        <v>1609.92</v>
      </c>
      <c r="AP44">
        <v>0</v>
      </c>
      <c r="AQ44">
        <v>144</v>
      </c>
      <c r="AR44">
        <v>0</v>
      </c>
      <c r="AS44">
        <v>0</v>
      </c>
      <c r="AT44">
        <v>92</v>
      </c>
      <c r="AU44">
        <v>41</v>
      </c>
      <c r="AV44">
        <v>1.0669999999999999</v>
      </c>
      <c r="AW44">
        <v>1.081</v>
      </c>
      <c r="AZ44">
        <v>1</v>
      </c>
      <c r="BA44">
        <v>30.48</v>
      </c>
      <c r="BB44">
        <v>1</v>
      </c>
      <c r="BC44">
        <v>7.56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1</v>
      </c>
      <c r="BJ44" t="s">
        <v>36</v>
      </c>
      <c r="BM44">
        <v>242</v>
      </c>
      <c r="BN44">
        <v>0</v>
      </c>
      <c r="BO44" t="s">
        <v>33</v>
      </c>
      <c r="BP44">
        <v>1</v>
      </c>
      <c r="BQ44">
        <v>30</v>
      </c>
      <c r="BR44">
        <v>0</v>
      </c>
      <c r="BS44">
        <v>30.48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92</v>
      </c>
      <c r="CA44">
        <v>41</v>
      </c>
      <c r="CB44" t="s">
        <v>3</v>
      </c>
      <c r="CE44">
        <v>30</v>
      </c>
      <c r="CF44">
        <v>0</v>
      </c>
      <c r="CG44">
        <v>0</v>
      </c>
      <c r="CM44">
        <v>0</v>
      </c>
      <c r="CN44" t="s">
        <v>265</v>
      </c>
      <c r="CO44">
        <v>0</v>
      </c>
      <c r="CP44">
        <f t="shared" si="41"/>
        <v>1419.36</v>
      </c>
      <c r="CQ44">
        <f t="shared" si="42"/>
        <v>159803.51</v>
      </c>
      <c r="CR44">
        <f>(ROUND((ROUND(((((ET44*1.2)*1.1))*AV44*1),2)*BB44),2)+ROUND((ROUND(((AE44-(((EU44*1.2)*1.1)))*AV44*1),2)*BS44),2))</f>
        <v>0</v>
      </c>
      <c r="CS44">
        <f t="shared" si="43"/>
        <v>0</v>
      </c>
      <c r="CT44">
        <f t="shared" si="44"/>
        <v>69112.789999999994</v>
      </c>
      <c r="CU44">
        <f t="shared" si="45"/>
        <v>0</v>
      </c>
      <c r="CV44">
        <f t="shared" si="46"/>
        <v>202.81535999999997</v>
      </c>
      <c r="CW44">
        <f t="shared" si="47"/>
        <v>0</v>
      </c>
      <c r="CX44">
        <f t="shared" si="48"/>
        <v>0</v>
      </c>
      <c r="CY44">
        <f t="shared" si="49"/>
        <v>394.26600000000002</v>
      </c>
      <c r="CZ44">
        <f t="shared" si="50"/>
        <v>175.7055</v>
      </c>
      <c r="DC44" t="s">
        <v>3</v>
      </c>
      <c r="DD44" t="s">
        <v>26</v>
      </c>
      <c r="DE44" t="s">
        <v>27</v>
      </c>
      <c r="DF44" t="s">
        <v>27</v>
      </c>
      <c r="DG44" t="s">
        <v>27</v>
      </c>
      <c r="DH44" t="s">
        <v>3</v>
      </c>
      <c r="DI44" t="s">
        <v>27</v>
      </c>
      <c r="DJ44" t="s">
        <v>27</v>
      </c>
      <c r="DK44" t="s">
        <v>3</v>
      </c>
      <c r="DL44" t="s">
        <v>3</v>
      </c>
      <c r="DM44" t="s">
        <v>3</v>
      </c>
      <c r="DN44">
        <v>112</v>
      </c>
      <c r="DO44">
        <v>70</v>
      </c>
      <c r="DP44">
        <v>1.0669999999999999</v>
      </c>
      <c r="DQ44">
        <v>1.081</v>
      </c>
      <c r="DU44">
        <v>1013</v>
      </c>
      <c r="DV44" t="s">
        <v>35</v>
      </c>
      <c r="DW44" t="s">
        <v>35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50001904</v>
      </c>
      <c r="EF44">
        <v>30</v>
      </c>
      <c r="EG44" t="s">
        <v>20</v>
      </c>
      <c r="EH44">
        <v>0</v>
      </c>
      <c r="EI44" t="s">
        <v>3</v>
      </c>
      <c r="EJ44">
        <v>1</v>
      </c>
      <c r="EK44">
        <v>242</v>
      </c>
      <c r="EL44" t="s">
        <v>37</v>
      </c>
      <c r="EM44" t="s">
        <v>38</v>
      </c>
      <c r="EO44" t="s">
        <v>31</v>
      </c>
      <c r="EQ44">
        <v>0</v>
      </c>
      <c r="ER44">
        <v>21164.06</v>
      </c>
      <c r="ES44">
        <v>19554.14</v>
      </c>
      <c r="ET44">
        <v>0</v>
      </c>
      <c r="EU44">
        <v>0</v>
      </c>
      <c r="EV44">
        <v>1609.92</v>
      </c>
      <c r="EW44">
        <v>144</v>
      </c>
      <c r="EX44">
        <v>0</v>
      </c>
      <c r="EY44">
        <v>0</v>
      </c>
      <c r="FQ44">
        <v>0</v>
      </c>
      <c r="FR44">
        <f t="shared" si="51"/>
        <v>0</v>
      </c>
      <c r="FS44">
        <v>2</v>
      </c>
      <c r="FX44">
        <v>112</v>
      </c>
      <c r="FY44">
        <v>70</v>
      </c>
      <c r="GA44" t="s">
        <v>3</v>
      </c>
      <c r="GD44">
        <v>0</v>
      </c>
      <c r="GF44">
        <v>-374340231</v>
      </c>
      <c r="GG44">
        <v>2</v>
      </c>
      <c r="GH44">
        <v>1</v>
      </c>
      <c r="GI44">
        <v>2</v>
      </c>
      <c r="GJ44">
        <v>0</v>
      </c>
      <c r="GK44">
        <f>ROUND(R44*(R12)/100,2)</f>
        <v>0</v>
      </c>
      <c r="GL44">
        <f t="shared" si="52"/>
        <v>0</v>
      </c>
      <c r="GM44">
        <f t="shared" si="53"/>
        <v>1989.34</v>
      </c>
      <c r="GN44">
        <f t="shared" si="54"/>
        <v>1989.34</v>
      </c>
      <c r="GO44">
        <f t="shared" si="55"/>
        <v>0</v>
      </c>
      <c r="GP44">
        <f t="shared" si="56"/>
        <v>0</v>
      </c>
      <c r="GR44">
        <v>0</v>
      </c>
      <c r="GS44">
        <v>3</v>
      </c>
      <c r="GT44">
        <v>0</v>
      </c>
      <c r="GU44" t="s">
        <v>3</v>
      </c>
      <c r="GV44">
        <f t="shared" si="57"/>
        <v>0</v>
      </c>
      <c r="GW44">
        <v>1</v>
      </c>
      <c r="GX44">
        <f t="shared" si="58"/>
        <v>0</v>
      </c>
      <c r="HA44">
        <v>0</v>
      </c>
      <c r="HB44">
        <v>0</v>
      </c>
      <c r="HC44">
        <f t="shared" si="59"/>
        <v>0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IK44">
        <v>0</v>
      </c>
    </row>
    <row r="45" spans="1:245" x14ac:dyDescent="0.2">
      <c r="A45">
        <v>18</v>
      </c>
      <c r="B45">
        <v>1</v>
      </c>
      <c r="E45" t="s">
        <v>76</v>
      </c>
      <c r="F45" t="s">
        <v>40</v>
      </c>
      <c r="G45" t="s">
        <v>41</v>
      </c>
      <c r="H45" t="s">
        <v>42</v>
      </c>
      <c r="I45">
        <f>I44*J45</f>
        <v>-6.2</v>
      </c>
      <c r="J45">
        <v>-1000.0000000000001</v>
      </c>
      <c r="K45">
        <v>-1000</v>
      </c>
      <c r="O45">
        <f t="shared" si="28"/>
        <v>-913.45</v>
      </c>
      <c r="P45">
        <f t="shared" si="29"/>
        <v>-913.45</v>
      </c>
      <c r="Q45">
        <f>(ROUND((ROUND(((ET45)*AV45*I45),2)*BB45),2)+ROUND((ROUND(((AE45-(EU45))*AV45*I45),2)*BS45),2))</f>
        <v>0</v>
      </c>
      <c r="R45">
        <f t="shared" si="30"/>
        <v>0</v>
      </c>
      <c r="S45">
        <f t="shared" si="31"/>
        <v>0</v>
      </c>
      <c r="T45">
        <f t="shared" si="32"/>
        <v>0</v>
      </c>
      <c r="U45">
        <f t="shared" si="33"/>
        <v>0</v>
      </c>
      <c r="V45">
        <f t="shared" si="34"/>
        <v>0</v>
      </c>
      <c r="W45">
        <f t="shared" si="35"/>
        <v>0</v>
      </c>
      <c r="X45">
        <f t="shared" si="36"/>
        <v>0</v>
      </c>
      <c r="Y45">
        <f t="shared" si="37"/>
        <v>0</v>
      </c>
      <c r="AA45">
        <v>50732134</v>
      </c>
      <c r="AB45">
        <f t="shared" si="38"/>
        <v>15.01</v>
      </c>
      <c r="AC45">
        <f>ROUND((ES45),6)</f>
        <v>15.01</v>
      </c>
      <c r="AD45">
        <f>ROUND((((ET45)-(EU45))+AE45),6)</f>
        <v>0</v>
      </c>
      <c r="AE45">
        <f>ROUND((EU45),6)</f>
        <v>0</v>
      </c>
      <c r="AF45">
        <f>ROUND((EV45),6)</f>
        <v>0</v>
      </c>
      <c r="AG45">
        <f t="shared" si="39"/>
        <v>0</v>
      </c>
      <c r="AH45">
        <f>(EW45)</f>
        <v>0</v>
      </c>
      <c r="AI45">
        <f>(EX45)</f>
        <v>0</v>
      </c>
      <c r="AJ45">
        <f t="shared" si="40"/>
        <v>0</v>
      </c>
      <c r="AK45">
        <v>15.01</v>
      </c>
      <c r="AL45">
        <v>15.01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1</v>
      </c>
      <c r="AW45">
        <v>1.081</v>
      </c>
      <c r="AZ45">
        <v>1</v>
      </c>
      <c r="BA45">
        <v>1</v>
      </c>
      <c r="BB45">
        <v>1</v>
      </c>
      <c r="BC45">
        <v>9.08</v>
      </c>
      <c r="BD45" t="s">
        <v>3</v>
      </c>
      <c r="BE45" t="s">
        <v>3</v>
      </c>
      <c r="BF45" t="s">
        <v>3</v>
      </c>
      <c r="BG45" t="s">
        <v>3</v>
      </c>
      <c r="BH45">
        <v>3</v>
      </c>
      <c r="BI45">
        <v>1</v>
      </c>
      <c r="BJ45" t="s">
        <v>43</v>
      </c>
      <c r="BM45">
        <v>242</v>
      </c>
      <c r="BN45">
        <v>0</v>
      </c>
      <c r="BO45" t="s">
        <v>40</v>
      </c>
      <c r="BP45">
        <v>1</v>
      </c>
      <c r="BQ45">
        <v>30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0</v>
      </c>
      <c r="CA45">
        <v>0</v>
      </c>
      <c r="CB45" t="s">
        <v>3</v>
      </c>
      <c r="CE45">
        <v>30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1"/>
        <v>-913.45</v>
      </c>
      <c r="CQ45">
        <f t="shared" si="42"/>
        <v>147.37</v>
      </c>
      <c r="CR45">
        <f>(ROUND((ROUND(((ET45)*AV45*1),2)*BB45),2)+ROUND((ROUND(((AE45-(EU45))*AV45*1),2)*BS45),2))</f>
        <v>0</v>
      </c>
      <c r="CS45">
        <f t="shared" si="43"/>
        <v>0</v>
      </c>
      <c r="CT45">
        <f t="shared" si="44"/>
        <v>0</v>
      </c>
      <c r="CU45">
        <f t="shared" si="45"/>
        <v>0</v>
      </c>
      <c r="CV45">
        <f t="shared" si="46"/>
        <v>0</v>
      </c>
      <c r="CW45">
        <f t="shared" si="47"/>
        <v>0</v>
      </c>
      <c r="CX45">
        <f t="shared" si="48"/>
        <v>0</v>
      </c>
      <c r="CY45">
        <f t="shared" si="49"/>
        <v>0</v>
      </c>
      <c r="CZ45">
        <f t="shared" si="50"/>
        <v>0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112</v>
      </c>
      <c r="DO45">
        <v>70</v>
      </c>
      <c r="DP45">
        <v>1.0669999999999999</v>
      </c>
      <c r="DQ45">
        <v>1.081</v>
      </c>
      <c r="DU45">
        <v>1003</v>
      </c>
      <c r="DV45" t="s">
        <v>42</v>
      </c>
      <c r="DW45" t="s">
        <v>42</v>
      </c>
      <c r="DX45">
        <v>1</v>
      </c>
      <c r="DZ45" t="s">
        <v>3</v>
      </c>
      <c r="EA45" t="s">
        <v>3</v>
      </c>
      <c r="EB45" t="s">
        <v>3</v>
      </c>
      <c r="EC45" t="s">
        <v>3</v>
      </c>
      <c r="EE45">
        <v>50001904</v>
      </c>
      <c r="EF45">
        <v>30</v>
      </c>
      <c r="EG45" t="s">
        <v>20</v>
      </c>
      <c r="EH45">
        <v>0</v>
      </c>
      <c r="EI45" t="s">
        <v>3</v>
      </c>
      <c r="EJ45">
        <v>1</v>
      </c>
      <c r="EK45">
        <v>242</v>
      </c>
      <c r="EL45" t="s">
        <v>37</v>
      </c>
      <c r="EM45" t="s">
        <v>38</v>
      </c>
      <c r="EO45" t="s">
        <v>3</v>
      </c>
      <c r="EQ45">
        <v>0</v>
      </c>
      <c r="ER45">
        <v>15.01</v>
      </c>
      <c r="ES45">
        <v>15.01</v>
      </c>
      <c r="ET45">
        <v>0</v>
      </c>
      <c r="EU45">
        <v>0</v>
      </c>
      <c r="EV45">
        <v>0</v>
      </c>
      <c r="EW45">
        <v>0</v>
      </c>
      <c r="EX45">
        <v>0</v>
      </c>
      <c r="FQ45">
        <v>0</v>
      </c>
      <c r="FR45">
        <f t="shared" si="51"/>
        <v>0</v>
      </c>
      <c r="FS45">
        <v>0</v>
      </c>
      <c r="FX45">
        <v>112</v>
      </c>
      <c r="FY45">
        <v>70</v>
      </c>
      <c r="GA45" t="s">
        <v>3</v>
      </c>
      <c r="GD45">
        <v>0</v>
      </c>
      <c r="GF45">
        <v>1669039596</v>
      </c>
      <c r="GG45">
        <v>2</v>
      </c>
      <c r="GH45">
        <v>1</v>
      </c>
      <c r="GI45">
        <v>2</v>
      </c>
      <c r="GJ45">
        <v>0</v>
      </c>
      <c r="GK45">
        <f>ROUND(R45*(R12)/100,2)</f>
        <v>0</v>
      </c>
      <c r="GL45">
        <f t="shared" si="52"/>
        <v>0</v>
      </c>
      <c r="GM45">
        <f t="shared" si="53"/>
        <v>-913.45</v>
      </c>
      <c r="GN45">
        <f t="shared" si="54"/>
        <v>-913.45</v>
      </c>
      <c r="GO45">
        <f t="shared" si="55"/>
        <v>0</v>
      </c>
      <c r="GP45">
        <f t="shared" si="56"/>
        <v>0</v>
      </c>
      <c r="GR45">
        <v>0</v>
      </c>
      <c r="GS45">
        <v>3</v>
      </c>
      <c r="GT45">
        <v>0</v>
      </c>
      <c r="GU45" t="s">
        <v>3</v>
      </c>
      <c r="GV45">
        <f t="shared" si="57"/>
        <v>0</v>
      </c>
      <c r="GW45">
        <v>1</v>
      </c>
      <c r="GX45">
        <f t="shared" si="58"/>
        <v>0</v>
      </c>
      <c r="HA45">
        <v>0</v>
      </c>
      <c r="HB45">
        <v>0</v>
      </c>
      <c r="HC45">
        <f t="shared" si="59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IK45">
        <v>0</v>
      </c>
    </row>
    <row r="46" spans="1:245" x14ac:dyDescent="0.2">
      <c r="A46">
        <v>17</v>
      </c>
      <c r="B46">
        <v>1</v>
      </c>
      <c r="E46" t="s">
        <v>77</v>
      </c>
      <c r="F46" t="s">
        <v>45</v>
      </c>
      <c r="G46" t="s">
        <v>46</v>
      </c>
      <c r="H46" t="s">
        <v>42</v>
      </c>
      <c r="I46">
        <v>6.2</v>
      </c>
      <c r="J46">
        <v>0</v>
      </c>
      <c r="K46">
        <v>6.2</v>
      </c>
      <c r="O46">
        <f t="shared" si="28"/>
        <v>1423.54</v>
      </c>
      <c r="P46">
        <f t="shared" si="29"/>
        <v>1423.54</v>
      </c>
      <c r="Q46">
        <f>(ROUND((ROUND(((ET46)*AV46*I46),2)*BB46),2)+ROUND((ROUND(((AE46-(EU46))*AV46*I46),2)*BS46),2))</f>
        <v>0</v>
      </c>
      <c r="R46">
        <f t="shared" si="30"/>
        <v>0</v>
      </c>
      <c r="S46">
        <f t="shared" si="31"/>
        <v>0</v>
      </c>
      <c r="T46">
        <f t="shared" si="32"/>
        <v>0</v>
      </c>
      <c r="U46">
        <f t="shared" si="33"/>
        <v>0</v>
      </c>
      <c r="V46">
        <f t="shared" si="34"/>
        <v>0</v>
      </c>
      <c r="W46">
        <f t="shared" si="35"/>
        <v>0</v>
      </c>
      <c r="X46">
        <f t="shared" si="36"/>
        <v>0</v>
      </c>
      <c r="Y46">
        <f t="shared" si="37"/>
        <v>0</v>
      </c>
      <c r="AA46">
        <v>50732134</v>
      </c>
      <c r="AB46">
        <f t="shared" si="38"/>
        <v>24.4</v>
      </c>
      <c r="AC46">
        <f>ROUND((ES46),6)</f>
        <v>24.4</v>
      </c>
      <c r="AD46">
        <f>ROUND((((ET46)-(EU46))+AE46),6)</f>
        <v>0</v>
      </c>
      <c r="AE46">
        <f>ROUND((EU46),6)</f>
        <v>0</v>
      </c>
      <c r="AF46">
        <f>ROUND((EV46),6)</f>
        <v>0</v>
      </c>
      <c r="AG46">
        <f t="shared" si="39"/>
        <v>0</v>
      </c>
      <c r="AH46">
        <f>(EW46)</f>
        <v>0</v>
      </c>
      <c r="AI46">
        <f>(EX46)</f>
        <v>0</v>
      </c>
      <c r="AJ46">
        <f t="shared" si="40"/>
        <v>0</v>
      </c>
      <c r="AK46">
        <v>24.4</v>
      </c>
      <c r="AL46">
        <v>24.4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9.41</v>
      </c>
      <c r="BD46" t="s">
        <v>3</v>
      </c>
      <c r="BE46" t="s">
        <v>3</v>
      </c>
      <c r="BF46" t="s">
        <v>3</v>
      </c>
      <c r="BG46" t="s">
        <v>3</v>
      </c>
      <c r="BH46">
        <v>3</v>
      </c>
      <c r="BI46">
        <v>1</v>
      </c>
      <c r="BJ46" t="s">
        <v>47</v>
      </c>
      <c r="BM46">
        <v>1617</v>
      </c>
      <c r="BN46">
        <v>0</v>
      </c>
      <c r="BO46" t="s">
        <v>45</v>
      </c>
      <c r="BP46">
        <v>1</v>
      </c>
      <c r="BQ46">
        <v>200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0</v>
      </c>
      <c r="CA46">
        <v>0</v>
      </c>
      <c r="CB46" t="s">
        <v>3</v>
      </c>
      <c r="CE46">
        <v>30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1"/>
        <v>1423.54</v>
      </c>
      <c r="CQ46">
        <f t="shared" si="42"/>
        <v>229.6</v>
      </c>
      <c r="CR46">
        <f>(ROUND((ROUND(((ET46)*AV46*1),2)*BB46),2)+ROUND((ROUND(((AE46-(EU46))*AV46*1),2)*BS46),2))</f>
        <v>0</v>
      </c>
      <c r="CS46">
        <f t="shared" si="43"/>
        <v>0</v>
      </c>
      <c r="CT46">
        <f t="shared" si="44"/>
        <v>0</v>
      </c>
      <c r="CU46">
        <f t="shared" si="45"/>
        <v>0</v>
      </c>
      <c r="CV46">
        <f t="shared" si="46"/>
        <v>0</v>
      </c>
      <c r="CW46">
        <f t="shared" si="47"/>
        <v>0</v>
      </c>
      <c r="CX46">
        <f t="shared" si="48"/>
        <v>0</v>
      </c>
      <c r="CY46">
        <f t="shared" si="49"/>
        <v>0</v>
      </c>
      <c r="CZ46">
        <f t="shared" si="50"/>
        <v>0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1003</v>
      </c>
      <c r="DV46" t="s">
        <v>42</v>
      </c>
      <c r="DW46" t="s">
        <v>42</v>
      </c>
      <c r="DX46">
        <v>1</v>
      </c>
      <c r="DZ46" t="s">
        <v>3</v>
      </c>
      <c r="EA46" t="s">
        <v>3</v>
      </c>
      <c r="EB46" t="s">
        <v>3</v>
      </c>
      <c r="EC46" t="s">
        <v>3</v>
      </c>
      <c r="EE46">
        <v>50003279</v>
      </c>
      <c r="EF46">
        <v>200</v>
      </c>
      <c r="EG46" t="s">
        <v>48</v>
      </c>
      <c r="EH46">
        <v>0</v>
      </c>
      <c r="EI46" t="s">
        <v>3</v>
      </c>
      <c r="EJ46">
        <v>1</v>
      </c>
      <c r="EK46">
        <v>1617</v>
      </c>
      <c r="EL46" t="s">
        <v>49</v>
      </c>
      <c r="EM46" t="s">
        <v>50</v>
      </c>
      <c r="EO46" t="s">
        <v>3</v>
      </c>
      <c r="EQ46">
        <v>0</v>
      </c>
      <c r="ER46">
        <v>24.4</v>
      </c>
      <c r="ES46">
        <v>24.4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FQ46">
        <v>0</v>
      </c>
      <c r="FR46">
        <f t="shared" si="51"/>
        <v>0</v>
      </c>
      <c r="FS46">
        <v>0</v>
      </c>
      <c r="FX46">
        <v>0</v>
      </c>
      <c r="FY46">
        <v>0</v>
      </c>
      <c r="GA46" t="s">
        <v>3</v>
      </c>
      <c r="GD46">
        <v>0</v>
      </c>
      <c r="GF46">
        <v>939292151</v>
      </c>
      <c r="GG46">
        <v>2</v>
      </c>
      <c r="GH46">
        <v>1</v>
      </c>
      <c r="GI46">
        <v>2</v>
      </c>
      <c r="GJ46">
        <v>0</v>
      </c>
      <c r="GK46">
        <f>ROUND(R46*(R12)/100,2)</f>
        <v>0</v>
      </c>
      <c r="GL46">
        <f t="shared" si="52"/>
        <v>0</v>
      </c>
      <c r="GM46">
        <f t="shared" si="53"/>
        <v>1423.54</v>
      </c>
      <c r="GN46">
        <f t="shared" si="54"/>
        <v>1423.54</v>
      </c>
      <c r="GO46">
        <f t="shared" si="55"/>
        <v>0</v>
      </c>
      <c r="GP46">
        <f t="shared" si="56"/>
        <v>0</v>
      </c>
      <c r="GR46">
        <v>0</v>
      </c>
      <c r="GS46">
        <v>3</v>
      </c>
      <c r="GT46">
        <v>0</v>
      </c>
      <c r="GU46" t="s">
        <v>3</v>
      </c>
      <c r="GV46">
        <f t="shared" si="57"/>
        <v>0</v>
      </c>
      <c r="GW46">
        <v>1</v>
      </c>
      <c r="GX46">
        <f t="shared" si="58"/>
        <v>0</v>
      </c>
      <c r="HA46">
        <v>0</v>
      </c>
      <c r="HB46">
        <v>0</v>
      </c>
      <c r="HC46">
        <f t="shared" si="59"/>
        <v>0</v>
      </c>
      <c r="HE46" t="s">
        <v>3</v>
      </c>
      <c r="HF46" t="s">
        <v>3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IK46">
        <v>0</v>
      </c>
    </row>
    <row r="47" spans="1:245" x14ac:dyDescent="0.2">
      <c r="A47">
        <v>17</v>
      </c>
      <c r="B47">
        <v>1</v>
      </c>
      <c r="E47" t="s">
        <v>78</v>
      </c>
      <c r="F47" t="s">
        <v>79</v>
      </c>
      <c r="G47" t="s">
        <v>80</v>
      </c>
      <c r="H47" t="s">
        <v>81</v>
      </c>
      <c r="I47">
        <v>1</v>
      </c>
      <c r="J47">
        <v>0</v>
      </c>
      <c r="K47">
        <v>1</v>
      </c>
      <c r="O47">
        <f t="shared" si="28"/>
        <v>764.21</v>
      </c>
      <c r="P47">
        <f t="shared" si="29"/>
        <v>520.37</v>
      </c>
      <c r="Q47">
        <f>(ROUND((ROUND(((((ET47*1.2)*1.1))*AV47*I47),2)*BB47),2)+ROUND((ROUND(((AE47-(((EU47*1.2)*1.1)))*AV47*I47),2)*BS47),2))</f>
        <v>0</v>
      </c>
      <c r="R47">
        <f t="shared" si="30"/>
        <v>0</v>
      </c>
      <c r="S47">
        <f t="shared" si="31"/>
        <v>243.84</v>
      </c>
      <c r="T47">
        <f t="shared" si="32"/>
        <v>0</v>
      </c>
      <c r="U47">
        <f t="shared" si="33"/>
        <v>0.64955879999999988</v>
      </c>
      <c r="V47">
        <f t="shared" si="34"/>
        <v>0</v>
      </c>
      <c r="W47">
        <f t="shared" si="35"/>
        <v>0</v>
      </c>
      <c r="X47">
        <f t="shared" si="36"/>
        <v>224.33</v>
      </c>
      <c r="Y47">
        <f t="shared" si="37"/>
        <v>104.85</v>
      </c>
      <c r="AA47">
        <v>50732134</v>
      </c>
      <c r="AB47">
        <f t="shared" si="38"/>
        <v>66.842799999999997</v>
      </c>
      <c r="AC47">
        <f>ROUND((((ES47*1)*1)),6)</f>
        <v>59.2</v>
      </c>
      <c r="AD47">
        <f>ROUND((((((ET47*1.2)*1.1))-(((EU47*1.2)*1.1)))+AE47),6)</f>
        <v>0</v>
      </c>
      <c r="AE47">
        <f>ROUND((((EU47*1.2)*1.1)),6)</f>
        <v>0</v>
      </c>
      <c r="AF47">
        <f>ROUND((((EV47*1.2)*1.1)),6)</f>
        <v>7.6428000000000003</v>
      </c>
      <c r="AG47">
        <f t="shared" si="39"/>
        <v>0</v>
      </c>
      <c r="AH47">
        <f>(((EW47*1.2)*1.1))</f>
        <v>0.62039999999999995</v>
      </c>
      <c r="AI47">
        <f>(((EX47*1.2)*1.1))</f>
        <v>0</v>
      </c>
      <c r="AJ47">
        <f t="shared" si="40"/>
        <v>0</v>
      </c>
      <c r="AK47">
        <v>64.989999999999995</v>
      </c>
      <c r="AL47">
        <v>59.2</v>
      </c>
      <c r="AM47">
        <v>0</v>
      </c>
      <c r="AN47">
        <v>0</v>
      </c>
      <c r="AO47">
        <v>5.79</v>
      </c>
      <c r="AP47">
        <v>0</v>
      </c>
      <c r="AQ47">
        <v>0.47</v>
      </c>
      <c r="AR47">
        <v>0</v>
      </c>
      <c r="AS47">
        <v>0</v>
      </c>
      <c r="AT47">
        <v>92</v>
      </c>
      <c r="AU47">
        <v>43</v>
      </c>
      <c r="AV47">
        <v>1.0469999999999999</v>
      </c>
      <c r="AW47">
        <v>1</v>
      </c>
      <c r="AZ47">
        <v>1</v>
      </c>
      <c r="BA47">
        <v>30.48</v>
      </c>
      <c r="BB47">
        <v>1</v>
      </c>
      <c r="BC47">
        <v>8.7899999999999991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2</v>
      </c>
      <c r="BJ47" t="s">
        <v>82</v>
      </c>
      <c r="BM47">
        <v>320</v>
      </c>
      <c r="BN47">
        <v>0</v>
      </c>
      <c r="BO47" t="s">
        <v>79</v>
      </c>
      <c r="BP47">
        <v>1</v>
      </c>
      <c r="BQ47">
        <v>40</v>
      </c>
      <c r="BR47">
        <v>0</v>
      </c>
      <c r="BS47">
        <v>30.48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92</v>
      </c>
      <c r="CA47">
        <v>43</v>
      </c>
      <c r="CB47" t="s">
        <v>3</v>
      </c>
      <c r="CE47">
        <v>30</v>
      </c>
      <c r="CF47">
        <v>0</v>
      </c>
      <c r="CG47">
        <v>0</v>
      </c>
      <c r="CM47">
        <v>0</v>
      </c>
      <c r="CN47" t="s">
        <v>265</v>
      </c>
      <c r="CO47">
        <v>0</v>
      </c>
      <c r="CP47">
        <f t="shared" si="41"/>
        <v>764.21</v>
      </c>
      <c r="CQ47">
        <f t="shared" si="42"/>
        <v>520.37</v>
      </c>
      <c r="CR47">
        <f>(ROUND((ROUND(((((ET47*1.2)*1.1))*AV47*1),2)*BB47),2)+ROUND((ROUND(((AE47-(((EU47*1.2)*1.1)))*AV47*1),2)*BS47),2))</f>
        <v>0</v>
      </c>
      <c r="CS47">
        <f t="shared" si="43"/>
        <v>0</v>
      </c>
      <c r="CT47">
        <f t="shared" si="44"/>
        <v>243.84</v>
      </c>
      <c r="CU47">
        <f t="shared" si="45"/>
        <v>0</v>
      </c>
      <c r="CV47">
        <f t="shared" si="46"/>
        <v>0.64955879999999988</v>
      </c>
      <c r="CW47">
        <f t="shared" si="47"/>
        <v>0</v>
      </c>
      <c r="CX47">
        <f t="shared" si="48"/>
        <v>0</v>
      </c>
      <c r="CY47">
        <f t="shared" si="49"/>
        <v>224.33280000000002</v>
      </c>
      <c r="CZ47">
        <f t="shared" si="50"/>
        <v>104.85120000000001</v>
      </c>
      <c r="DC47" t="s">
        <v>3</v>
      </c>
      <c r="DD47" t="s">
        <v>26</v>
      </c>
      <c r="DE47" t="s">
        <v>27</v>
      </c>
      <c r="DF47" t="s">
        <v>27</v>
      </c>
      <c r="DG47" t="s">
        <v>27</v>
      </c>
      <c r="DH47" t="s">
        <v>3</v>
      </c>
      <c r="DI47" t="s">
        <v>27</v>
      </c>
      <c r="DJ47" t="s">
        <v>27</v>
      </c>
      <c r="DK47" t="s">
        <v>3</v>
      </c>
      <c r="DL47" t="s">
        <v>3</v>
      </c>
      <c r="DM47" t="s">
        <v>3</v>
      </c>
      <c r="DN47">
        <v>112</v>
      </c>
      <c r="DO47">
        <v>70</v>
      </c>
      <c r="DP47">
        <v>1.0469999999999999</v>
      </c>
      <c r="DQ47">
        <v>1</v>
      </c>
      <c r="DU47">
        <v>1013</v>
      </c>
      <c r="DV47" t="s">
        <v>81</v>
      </c>
      <c r="DW47" t="s">
        <v>81</v>
      </c>
      <c r="DX47">
        <v>1</v>
      </c>
      <c r="DZ47" t="s">
        <v>3</v>
      </c>
      <c r="EA47" t="s">
        <v>3</v>
      </c>
      <c r="EB47" t="s">
        <v>3</v>
      </c>
      <c r="EC47" t="s">
        <v>3</v>
      </c>
      <c r="EE47">
        <v>50001982</v>
      </c>
      <c r="EF47">
        <v>40</v>
      </c>
      <c r="EG47" t="s">
        <v>83</v>
      </c>
      <c r="EH47">
        <v>0</v>
      </c>
      <c r="EI47" t="s">
        <v>3</v>
      </c>
      <c r="EJ47">
        <v>2</v>
      </c>
      <c r="EK47">
        <v>320</v>
      </c>
      <c r="EL47" t="s">
        <v>84</v>
      </c>
      <c r="EM47" t="s">
        <v>85</v>
      </c>
      <c r="EO47" t="s">
        <v>31</v>
      </c>
      <c r="EQ47">
        <v>0</v>
      </c>
      <c r="ER47">
        <v>64.989999999999995</v>
      </c>
      <c r="ES47">
        <v>59.2</v>
      </c>
      <c r="ET47">
        <v>0</v>
      </c>
      <c r="EU47">
        <v>0</v>
      </c>
      <c r="EV47">
        <v>5.79</v>
      </c>
      <c r="EW47">
        <v>0.47</v>
      </c>
      <c r="EX47">
        <v>0</v>
      </c>
      <c r="EY47">
        <v>0</v>
      </c>
      <c r="FQ47">
        <v>0</v>
      </c>
      <c r="FR47">
        <f t="shared" si="51"/>
        <v>0</v>
      </c>
      <c r="FS47">
        <v>0</v>
      </c>
      <c r="FX47">
        <v>112</v>
      </c>
      <c r="FY47">
        <v>70</v>
      </c>
      <c r="GA47" t="s">
        <v>3</v>
      </c>
      <c r="GD47">
        <v>0</v>
      </c>
      <c r="GF47">
        <v>1225845739</v>
      </c>
      <c r="GG47">
        <v>2</v>
      </c>
      <c r="GH47">
        <v>1</v>
      </c>
      <c r="GI47">
        <v>2</v>
      </c>
      <c r="GJ47">
        <v>0</v>
      </c>
      <c r="GK47">
        <f>ROUND(R47*(R12)/100,2)</f>
        <v>0</v>
      </c>
      <c r="GL47">
        <f t="shared" si="52"/>
        <v>0</v>
      </c>
      <c r="GM47">
        <f t="shared" si="53"/>
        <v>1093.3900000000001</v>
      </c>
      <c r="GN47">
        <f t="shared" si="54"/>
        <v>0</v>
      </c>
      <c r="GO47">
        <f t="shared" si="55"/>
        <v>1093.3900000000001</v>
      </c>
      <c r="GP47">
        <f t="shared" si="56"/>
        <v>0</v>
      </c>
      <c r="GR47">
        <v>0</v>
      </c>
      <c r="GS47">
        <v>3</v>
      </c>
      <c r="GT47">
        <v>0</v>
      </c>
      <c r="GU47" t="s">
        <v>3</v>
      </c>
      <c r="GV47">
        <f t="shared" si="57"/>
        <v>0</v>
      </c>
      <c r="GW47">
        <v>1</v>
      </c>
      <c r="GX47">
        <f t="shared" si="58"/>
        <v>0</v>
      </c>
      <c r="HA47">
        <v>0</v>
      </c>
      <c r="HB47">
        <v>0</v>
      </c>
      <c r="HC47">
        <f t="shared" si="59"/>
        <v>0</v>
      </c>
      <c r="HE47" t="s">
        <v>3</v>
      </c>
      <c r="HF47" t="s">
        <v>3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IK47">
        <v>0</v>
      </c>
    </row>
    <row r="48" spans="1:245" x14ac:dyDescent="0.2">
      <c r="A48">
        <v>18</v>
      </c>
      <c r="B48">
        <v>1</v>
      </c>
      <c r="E48" t="s">
        <v>86</v>
      </c>
      <c r="F48" t="s">
        <v>87</v>
      </c>
      <c r="G48" t="s">
        <v>88</v>
      </c>
      <c r="H48" t="s">
        <v>63</v>
      </c>
      <c r="I48">
        <f>I47*J48</f>
        <v>-0.72</v>
      </c>
      <c r="J48">
        <v>-0.72</v>
      </c>
      <c r="K48">
        <v>-0.72</v>
      </c>
      <c r="O48">
        <f t="shared" si="28"/>
        <v>-481.5</v>
      </c>
      <c r="P48">
        <f t="shared" si="29"/>
        <v>-481.5</v>
      </c>
      <c r="Q48">
        <f>(ROUND((ROUND(((ET48)*AV48*I48),2)*BB48),2)+ROUND((ROUND(((AE48-(EU48))*AV48*I48),2)*BS48),2))</f>
        <v>0</v>
      </c>
      <c r="R48">
        <f t="shared" si="30"/>
        <v>0</v>
      </c>
      <c r="S48">
        <f t="shared" si="31"/>
        <v>0</v>
      </c>
      <c r="T48">
        <f t="shared" si="32"/>
        <v>0</v>
      </c>
      <c r="U48">
        <f t="shared" si="33"/>
        <v>0</v>
      </c>
      <c r="V48">
        <f t="shared" si="34"/>
        <v>0</v>
      </c>
      <c r="W48">
        <f t="shared" si="35"/>
        <v>0</v>
      </c>
      <c r="X48">
        <f t="shared" si="36"/>
        <v>0</v>
      </c>
      <c r="Y48">
        <f t="shared" si="37"/>
        <v>0</v>
      </c>
      <c r="AA48">
        <v>50732134</v>
      </c>
      <c r="AB48">
        <f t="shared" si="38"/>
        <v>78.58</v>
      </c>
      <c r="AC48">
        <f>ROUND((ES48),6)</f>
        <v>78.58</v>
      </c>
      <c r="AD48">
        <f>ROUND((((ET48)-(EU48))+AE48),6)</f>
        <v>0</v>
      </c>
      <c r="AE48">
        <f t="shared" ref="AE48:AF52" si="60">ROUND((EU48),6)</f>
        <v>0</v>
      </c>
      <c r="AF48">
        <f t="shared" si="60"/>
        <v>0</v>
      </c>
      <c r="AG48">
        <f t="shared" si="39"/>
        <v>0</v>
      </c>
      <c r="AH48">
        <f t="shared" ref="AH48:AI52" si="61">(EW48)</f>
        <v>0</v>
      </c>
      <c r="AI48">
        <f t="shared" si="61"/>
        <v>0</v>
      </c>
      <c r="AJ48">
        <f t="shared" si="40"/>
        <v>0</v>
      </c>
      <c r="AK48">
        <v>78.58</v>
      </c>
      <c r="AL48">
        <v>78.58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8.51</v>
      </c>
      <c r="BD48" t="s">
        <v>3</v>
      </c>
      <c r="BE48" t="s">
        <v>3</v>
      </c>
      <c r="BF48" t="s">
        <v>3</v>
      </c>
      <c r="BG48" t="s">
        <v>3</v>
      </c>
      <c r="BH48">
        <v>3</v>
      </c>
      <c r="BI48">
        <v>2</v>
      </c>
      <c r="BJ48" t="s">
        <v>89</v>
      </c>
      <c r="BM48">
        <v>320</v>
      </c>
      <c r="BN48">
        <v>0</v>
      </c>
      <c r="BO48" t="s">
        <v>87</v>
      </c>
      <c r="BP48">
        <v>1</v>
      </c>
      <c r="BQ48">
        <v>40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0</v>
      </c>
      <c r="CA48">
        <v>0</v>
      </c>
      <c r="CB48" t="s">
        <v>3</v>
      </c>
      <c r="CE48">
        <v>30</v>
      </c>
      <c r="CF48">
        <v>0</v>
      </c>
      <c r="CG48">
        <v>0</v>
      </c>
      <c r="CM48">
        <v>0</v>
      </c>
      <c r="CN48" t="s">
        <v>265</v>
      </c>
      <c r="CO48">
        <v>0</v>
      </c>
      <c r="CP48">
        <f t="shared" si="41"/>
        <v>-481.5</v>
      </c>
      <c r="CQ48">
        <f t="shared" si="42"/>
        <v>668.72</v>
      </c>
      <c r="CR48">
        <f>(ROUND((ROUND(((ET48)*AV48*1),2)*BB48),2)+ROUND((ROUND(((AE48-(EU48))*AV48*1),2)*BS48),2))</f>
        <v>0</v>
      </c>
      <c r="CS48">
        <f t="shared" si="43"/>
        <v>0</v>
      </c>
      <c r="CT48">
        <f t="shared" si="44"/>
        <v>0</v>
      </c>
      <c r="CU48">
        <f t="shared" si="45"/>
        <v>0</v>
      </c>
      <c r="CV48">
        <f t="shared" si="46"/>
        <v>0</v>
      </c>
      <c r="CW48">
        <f t="shared" si="47"/>
        <v>0</v>
      </c>
      <c r="CX48">
        <f t="shared" si="48"/>
        <v>0</v>
      </c>
      <c r="CY48">
        <f t="shared" si="49"/>
        <v>0</v>
      </c>
      <c r="CZ48">
        <f t="shared" si="50"/>
        <v>0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112</v>
      </c>
      <c r="DO48">
        <v>70</v>
      </c>
      <c r="DP48">
        <v>1.0469999999999999</v>
      </c>
      <c r="DQ48">
        <v>1</v>
      </c>
      <c r="DU48">
        <v>1009</v>
      </c>
      <c r="DV48" t="s">
        <v>63</v>
      </c>
      <c r="DW48" t="s">
        <v>63</v>
      </c>
      <c r="DX48">
        <v>1</v>
      </c>
      <c r="DZ48" t="s">
        <v>3</v>
      </c>
      <c r="EA48" t="s">
        <v>3</v>
      </c>
      <c r="EB48" t="s">
        <v>3</v>
      </c>
      <c r="EC48" t="s">
        <v>3</v>
      </c>
      <c r="EE48">
        <v>50001982</v>
      </c>
      <c r="EF48">
        <v>40</v>
      </c>
      <c r="EG48" t="s">
        <v>83</v>
      </c>
      <c r="EH48">
        <v>0</v>
      </c>
      <c r="EI48" t="s">
        <v>3</v>
      </c>
      <c r="EJ48">
        <v>2</v>
      </c>
      <c r="EK48">
        <v>320</v>
      </c>
      <c r="EL48" t="s">
        <v>84</v>
      </c>
      <c r="EM48" t="s">
        <v>85</v>
      </c>
      <c r="EO48" t="s">
        <v>31</v>
      </c>
      <c r="EQ48">
        <v>0</v>
      </c>
      <c r="ER48">
        <v>78.58</v>
      </c>
      <c r="ES48">
        <v>78.58</v>
      </c>
      <c r="ET48">
        <v>0</v>
      </c>
      <c r="EU48">
        <v>0</v>
      </c>
      <c r="EV48">
        <v>0</v>
      </c>
      <c r="EW48">
        <v>0</v>
      </c>
      <c r="EX48">
        <v>0</v>
      </c>
      <c r="FQ48">
        <v>0</v>
      </c>
      <c r="FR48">
        <f t="shared" si="51"/>
        <v>0</v>
      </c>
      <c r="FS48">
        <v>0</v>
      </c>
      <c r="FX48">
        <v>112</v>
      </c>
      <c r="FY48">
        <v>70</v>
      </c>
      <c r="GA48" t="s">
        <v>3</v>
      </c>
      <c r="GD48">
        <v>0</v>
      </c>
      <c r="GF48">
        <v>-856971013</v>
      </c>
      <c r="GG48">
        <v>2</v>
      </c>
      <c r="GH48">
        <v>1</v>
      </c>
      <c r="GI48">
        <v>2</v>
      </c>
      <c r="GJ48">
        <v>0</v>
      </c>
      <c r="GK48">
        <f>ROUND(R48*(R12)/100,2)</f>
        <v>0</v>
      </c>
      <c r="GL48">
        <f t="shared" si="52"/>
        <v>0</v>
      </c>
      <c r="GM48">
        <f t="shared" si="53"/>
        <v>-481.5</v>
      </c>
      <c r="GN48">
        <f t="shared" si="54"/>
        <v>0</v>
      </c>
      <c r="GO48">
        <f t="shared" si="55"/>
        <v>-481.5</v>
      </c>
      <c r="GP48">
        <f t="shared" si="56"/>
        <v>0</v>
      </c>
      <c r="GR48">
        <v>0</v>
      </c>
      <c r="GS48">
        <v>3</v>
      </c>
      <c r="GT48">
        <v>0</v>
      </c>
      <c r="GU48" t="s">
        <v>3</v>
      </c>
      <c r="GV48">
        <f t="shared" si="57"/>
        <v>0</v>
      </c>
      <c r="GW48">
        <v>1</v>
      </c>
      <c r="GX48">
        <f t="shared" si="58"/>
        <v>0</v>
      </c>
      <c r="HA48">
        <v>0</v>
      </c>
      <c r="HB48">
        <v>0</v>
      </c>
      <c r="HC48">
        <f t="shared" si="59"/>
        <v>0</v>
      </c>
      <c r="HE48" t="s">
        <v>3</v>
      </c>
      <c r="HF48" t="s">
        <v>3</v>
      </c>
      <c r="HM48" t="s">
        <v>3</v>
      </c>
      <c r="HN48" t="s">
        <v>3</v>
      </c>
      <c r="HO48" t="s">
        <v>3</v>
      </c>
      <c r="HP48" t="s">
        <v>3</v>
      </c>
      <c r="HQ48" t="s">
        <v>3</v>
      </c>
      <c r="IK48">
        <v>0</v>
      </c>
    </row>
    <row r="49" spans="1:245" x14ac:dyDescent="0.2">
      <c r="A49">
        <v>18</v>
      </c>
      <c r="B49">
        <v>1</v>
      </c>
      <c r="E49" t="s">
        <v>90</v>
      </c>
      <c r="F49" t="s">
        <v>91</v>
      </c>
      <c r="G49" t="s">
        <v>92</v>
      </c>
      <c r="H49" t="s">
        <v>93</v>
      </c>
      <c r="I49">
        <f>I47*J49</f>
        <v>-6.0000000000000002E-5</v>
      </c>
      <c r="J49">
        <v>-6.0000000000000002E-5</v>
      </c>
      <c r="K49">
        <v>-6.0000000000000002E-5</v>
      </c>
      <c r="O49">
        <f t="shared" si="28"/>
        <v>-23.4</v>
      </c>
      <c r="P49">
        <f t="shared" si="29"/>
        <v>-23.4</v>
      </c>
      <c r="Q49">
        <f>(ROUND((ROUND(((ET49)*AV49*I49),2)*BB49),2)+ROUND((ROUND(((AE49-(EU49))*AV49*I49),2)*BS49),2))</f>
        <v>0</v>
      </c>
      <c r="R49">
        <f t="shared" si="30"/>
        <v>0</v>
      </c>
      <c r="S49">
        <f t="shared" si="31"/>
        <v>0</v>
      </c>
      <c r="T49">
        <f t="shared" si="32"/>
        <v>0</v>
      </c>
      <c r="U49">
        <f t="shared" si="33"/>
        <v>0</v>
      </c>
      <c r="V49">
        <f t="shared" si="34"/>
        <v>0</v>
      </c>
      <c r="W49">
        <f t="shared" si="35"/>
        <v>0</v>
      </c>
      <c r="X49">
        <f t="shared" si="36"/>
        <v>0</v>
      </c>
      <c r="Y49">
        <f t="shared" si="37"/>
        <v>0</v>
      </c>
      <c r="AA49">
        <v>50732134</v>
      </c>
      <c r="AB49">
        <f t="shared" si="38"/>
        <v>19003</v>
      </c>
      <c r="AC49">
        <f>ROUND((ES49),6)</f>
        <v>19003</v>
      </c>
      <c r="AD49">
        <f>ROUND((((ET49)-(EU49))+AE49),6)</f>
        <v>0</v>
      </c>
      <c r="AE49">
        <f t="shared" si="60"/>
        <v>0</v>
      </c>
      <c r="AF49">
        <f t="shared" si="60"/>
        <v>0</v>
      </c>
      <c r="AG49">
        <f t="shared" si="39"/>
        <v>0</v>
      </c>
      <c r="AH49">
        <f t="shared" si="61"/>
        <v>0</v>
      </c>
      <c r="AI49">
        <f t="shared" si="61"/>
        <v>0</v>
      </c>
      <c r="AJ49">
        <f t="shared" si="40"/>
        <v>0</v>
      </c>
      <c r="AK49">
        <v>19003</v>
      </c>
      <c r="AL49">
        <v>19003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20.53</v>
      </c>
      <c r="BD49" t="s">
        <v>3</v>
      </c>
      <c r="BE49" t="s">
        <v>3</v>
      </c>
      <c r="BF49" t="s">
        <v>3</v>
      </c>
      <c r="BG49" t="s">
        <v>3</v>
      </c>
      <c r="BH49">
        <v>3</v>
      </c>
      <c r="BI49">
        <v>2</v>
      </c>
      <c r="BJ49" t="s">
        <v>94</v>
      </c>
      <c r="BM49">
        <v>320</v>
      </c>
      <c r="BN49">
        <v>0</v>
      </c>
      <c r="BO49" t="s">
        <v>91</v>
      </c>
      <c r="BP49">
        <v>1</v>
      </c>
      <c r="BQ49">
        <v>40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0</v>
      </c>
      <c r="CA49">
        <v>0</v>
      </c>
      <c r="CB49" t="s">
        <v>3</v>
      </c>
      <c r="CE49">
        <v>30</v>
      </c>
      <c r="CF49">
        <v>0</v>
      </c>
      <c r="CG49">
        <v>0</v>
      </c>
      <c r="CM49">
        <v>0</v>
      </c>
      <c r="CN49" t="s">
        <v>265</v>
      </c>
      <c r="CO49">
        <v>0</v>
      </c>
      <c r="CP49">
        <f t="shared" si="41"/>
        <v>-23.4</v>
      </c>
      <c r="CQ49">
        <f t="shared" si="42"/>
        <v>390131.59</v>
      </c>
      <c r="CR49">
        <f>(ROUND((ROUND(((ET49)*AV49*1),2)*BB49),2)+ROUND((ROUND(((AE49-(EU49))*AV49*1),2)*BS49),2))</f>
        <v>0</v>
      </c>
      <c r="CS49">
        <f t="shared" si="43"/>
        <v>0</v>
      </c>
      <c r="CT49">
        <f t="shared" si="44"/>
        <v>0</v>
      </c>
      <c r="CU49">
        <f t="shared" si="45"/>
        <v>0</v>
      </c>
      <c r="CV49">
        <f t="shared" si="46"/>
        <v>0</v>
      </c>
      <c r="CW49">
        <f t="shared" si="47"/>
        <v>0</v>
      </c>
      <c r="CX49">
        <f t="shared" si="48"/>
        <v>0</v>
      </c>
      <c r="CY49">
        <f t="shared" si="49"/>
        <v>0</v>
      </c>
      <c r="CZ49">
        <f t="shared" si="50"/>
        <v>0</v>
      </c>
      <c r="DC49" t="s">
        <v>3</v>
      </c>
      <c r="DD49" t="s">
        <v>3</v>
      </c>
      <c r="DE49" t="s">
        <v>3</v>
      </c>
      <c r="DF49" t="s">
        <v>3</v>
      </c>
      <c r="DG49" t="s">
        <v>3</v>
      </c>
      <c r="DH49" t="s">
        <v>3</v>
      </c>
      <c r="DI49" t="s">
        <v>3</v>
      </c>
      <c r="DJ49" t="s">
        <v>3</v>
      </c>
      <c r="DK49" t="s">
        <v>3</v>
      </c>
      <c r="DL49" t="s">
        <v>3</v>
      </c>
      <c r="DM49" t="s">
        <v>3</v>
      </c>
      <c r="DN49">
        <v>112</v>
      </c>
      <c r="DO49">
        <v>70</v>
      </c>
      <c r="DP49">
        <v>1.0469999999999999</v>
      </c>
      <c r="DQ49">
        <v>1</v>
      </c>
      <c r="DU49">
        <v>1009</v>
      </c>
      <c r="DV49" t="s">
        <v>93</v>
      </c>
      <c r="DW49" t="s">
        <v>93</v>
      </c>
      <c r="DX49">
        <v>1000</v>
      </c>
      <c r="DZ49" t="s">
        <v>3</v>
      </c>
      <c r="EA49" t="s">
        <v>3</v>
      </c>
      <c r="EB49" t="s">
        <v>3</v>
      </c>
      <c r="EC49" t="s">
        <v>3</v>
      </c>
      <c r="EE49">
        <v>50001982</v>
      </c>
      <c r="EF49">
        <v>40</v>
      </c>
      <c r="EG49" t="s">
        <v>83</v>
      </c>
      <c r="EH49">
        <v>0</v>
      </c>
      <c r="EI49" t="s">
        <v>3</v>
      </c>
      <c r="EJ49">
        <v>2</v>
      </c>
      <c r="EK49">
        <v>320</v>
      </c>
      <c r="EL49" t="s">
        <v>84</v>
      </c>
      <c r="EM49" t="s">
        <v>85</v>
      </c>
      <c r="EO49" t="s">
        <v>31</v>
      </c>
      <c r="EQ49">
        <v>0</v>
      </c>
      <c r="ER49">
        <v>19003</v>
      </c>
      <c r="ES49">
        <v>19003</v>
      </c>
      <c r="ET49">
        <v>0</v>
      </c>
      <c r="EU49">
        <v>0</v>
      </c>
      <c r="EV49">
        <v>0</v>
      </c>
      <c r="EW49">
        <v>0</v>
      </c>
      <c r="EX49">
        <v>0</v>
      </c>
      <c r="FQ49">
        <v>0</v>
      </c>
      <c r="FR49">
        <f t="shared" si="51"/>
        <v>0</v>
      </c>
      <c r="FS49">
        <v>0</v>
      </c>
      <c r="FX49">
        <v>112</v>
      </c>
      <c r="FY49">
        <v>70</v>
      </c>
      <c r="GA49" t="s">
        <v>3</v>
      </c>
      <c r="GD49">
        <v>0</v>
      </c>
      <c r="GF49">
        <v>-173646786</v>
      </c>
      <c r="GG49">
        <v>2</v>
      </c>
      <c r="GH49">
        <v>1</v>
      </c>
      <c r="GI49">
        <v>2</v>
      </c>
      <c r="GJ49">
        <v>0</v>
      </c>
      <c r="GK49">
        <f>ROUND(R49*(R12)/100,2)</f>
        <v>0</v>
      </c>
      <c r="GL49">
        <f t="shared" si="52"/>
        <v>0</v>
      </c>
      <c r="GM49">
        <f t="shared" si="53"/>
        <v>-23.4</v>
      </c>
      <c r="GN49">
        <f t="shared" si="54"/>
        <v>0</v>
      </c>
      <c r="GO49">
        <f t="shared" si="55"/>
        <v>-23.4</v>
      </c>
      <c r="GP49">
        <f t="shared" si="56"/>
        <v>0</v>
      </c>
      <c r="GR49">
        <v>0</v>
      </c>
      <c r="GS49">
        <v>3</v>
      </c>
      <c r="GT49">
        <v>0</v>
      </c>
      <c r="GU49" t="s">
        <v>3</v>
      </c>
      <c r="GV49">
        <f t="shared" si="57"/>
        <v>0</v>
      </c>
      <c r="GW49">
        <v>1</v>
      </c>
      <c r="GX49">
        <f t="shared" si="58"/>
        <v>0</v>
      </c>
      <c r="HA49">
        <v>0</v>
      </c>
      <c r="HB49">
        <v>0</v>
      </c>
      <c r="HC49">
        <f t="shared" si="59"/>
        <v>0</v>
      </c>
      <c r="HE49" t="s">
        <v>3</v>
      </c>
      <c r="HF49" t="s">
        <v>3</v>
      </c>
      <c r="HM49" t="s">
        <v>3</v>
      </c>
      <c r="HN49" t="s">
        <v>3</v>
      </c>
      <c r="HO49" t="s">
        <v>3</v>
      </c>
      <c r="HP49" t="s">
        <v>3</v>
      </c>
      <c r="HQ49" t="s">
        <v>3</v>
      </c>
      <c r="IK49">
        <v>0</v>
      </c>
    </row>
    <row r="50" spans="1:245" x14ac:dyDescent="0.2">
      <c r="A50">
        <v>17</v>
      </c>
      <c r="B50">
        <v>1</v>
      </c>
      <c r="E50" t="s">
        <v>95</v>
      </c>
      <c r="F50" t="s">
        <v>96</v>
      </c>
      <c r="G50" t="s">
        <v>266</v>
      </c>
      <c r="H50" t="s">
        <v>63</v>
      </c>
      <c r="I50">
        <v>4</v>
      </c>
      <c r="J50">
        <v>0</v>
      </c>
      <c r="K50">
        <v>4</v>
      </c>
      <c r="O50">
        <f t="shared" si="28"/>
        <v>1430.29</v>
      </c>
      <c r="P50">
        <f t="shared" si="29"/>
        <v>1430.29</v>
      </c>
      <c r="Q50">
        <f>(ROUND((ROUND(((ET50)*AV50*I50),2)*BB50),2)+ROUND((ROUND(((AE50-(EU50))*AV50*I50),2)*BS50),2))</f>
        <v>0</v>
      </c>
      <c r="R50">
        <f t="shared" si="30"/>
        <v>0</v>
      </c>
      <c r="S50">
        <f t="shared" si="31"/>
        <v>0</v>
      </c>
      <c r="T50">
        <f t="shared" si="32"/>
        <v>0</v>
      </c>
      <c r="U50">
        <f t="shared" si="33"/>
        <v>0</v>
      </c>
      <c r="V50">
        <f t="shared" si="34"/>
        <v>0</v>
      </c>
      <c r="W50">
        <f t="shared" si="35"/>
        <v>0</v>
      </c>
      <c r="X50">
        <f t="shared" si="36"/>
        <v>0</v>
      </c>
      <c r="Y50">
        <f t="shared" si="37"/>
        <v>0</v>
      </c>
      <c r="AA50">
        <v>50732134</v>
      </c>
      <c r="AB50">
        <f t="shared" si="38"/>
        <v>54.26</v>
      </c>
      <c r="AC50">
        <f>ROUND((ES50),6)</f>
        <v>54.26</v>
      </c>
      <c r="AD50">
        <f>ROUND((((ET50)-(EU50))+AE50),6)</f>
        <v>0</v>
      </c>
      <c r="AE50">
        <f t="shared" si="60"/>
        <v>0</v>
      </c>
      <c r="AF50">
        <f t="shared" si="60"/>
        <v>0</v>
      </c>
      <c r="AG50">
        <f t="shared" si="39"/>
        <v>0</v>
      </c>
      <c r="AH50">
        <f t="shared" si="61"/>
        <v>0</v>
      </c>
      <c r="AI50">
        <f t="shared" si="61"/>
        <v>0</v>
      </c>
      <c r="AJ50">
        <f t="shared" si="40"/>
        <v>0</v>
      </c>
      <c r="AK50">
        <v>54.26</v>
      </c>
      <c r="AL50">
        <v>54.26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6.59</v>
      </c>
      <c r="BD50" t="s">
        <v>3</v>
      </c>
      <c r="BE50" t="s">
        <v>3</v>
      </c>
      <c r="BF50" t="s">
        <v>3</v>
      </c>
      <c r="BG50" t="s">
        <v>3</v>
      </c>
      <c r="BH50">
        <v>3</v>
      </c>
      <c r="BI50">
        <v>1</v>
      </c>
      <c r="BJ50" t="s">
        <v>97</v>
      </c>
      <c r="BM50">
        <v>1617</v>
      </c>
      <c r="BN50">
        <v>0</v>
      </c>
      <c r="BO50" t="s">
        <v>96</v>
      </c>
      <c r="BP50">
        <v>1</v>
      </c>
      <c r="BQ50">
        <v>200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0</v>
      </c>
      <c r="CA50">
        <v>0</v>
      </c>
      <c r="CB50" t="s">
        <v>3</v>
      </c>
      <c r="CE50">
        <v>30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41"/>
        <v>1430.29</v>
      </c>
      <c r="CQ50">
        <f t="shared" si="42"/>
        <v>357.57</v>
      </c>
      <c r="CR50">
        <f>(ROUND((ROUND(((ET50)*AV50*1),2)*BB50),2)+ROUND((ROUND(((AE50-(EU50))*AV50*1),2)*BS50),2))</f>
        <v>0</v>
      </c>
      <c r="CS50">
        <f t="shared" si="43"/>
        <v>0</v>
      </c>
      <c r="CT50">
        <f t="shared" si="44"/>
        <v>0</v>
      </c>
      <c r="CU50">
        <f t="shared" si="45"/>
        <v>0</v>
      </c>
      <c r="CV50">
        <f t="shared" si="46"/>
        <v>0</v>
      </c>
      <c r="CW50">
        <f t="shared" si="47"/>
        <v>0</v>
      </c>
      <c r="CX50">
        <f t="shared" si="48"/>
        <v>0</v>
      </c>
      <c r="CY50">
        <f t="shared" si="49"/>
        <v>0</v>
      </c>
      <c r="CZ50">
        <f t="shared" si="50"/>
        <v>0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1009</v>
      </c>
      <c r="DV50" t="s">
        <v>63</v>
      </c>
      <c r="DW50" t="s">
        <v>63</v>
      </c>
      <c r="DX50">
        <v>1</v>
      </c>
      <c r="DZ50" t="s">
        <v>3</v>
      </c>
      <c r="EA50" t="s">
        <v>3</v>
      </c>
      <c r="EB50" t="s">
        <v>3</v>
      </c>
      <c r="EC50" t="s">
        <v>3</v>
      </c>
      <c r="EE50">
        <v>50003279</v>
      </c>
      <c r="EF50">
        <v>200</v>
      </c>
      <c r="EG50" t="s">
        <v>48</v>
      </c>
      <c r="EH50">
        <v>0</v>
      </c>
      <c r="EI50" t="s">
        <v>3</v>
      </c>
      <c r="EJ50">
        <v>1</v>
      </c>
      <c r="EK50">
        <v>1617</v>
      </c>
      <c r="EL50" t="s">
        <v>49</v>
      </c>
      <c r="EM50" t="s">
        <v>50</v>
      </c>
      <c r="EO50" t="s">
        <v>3</v>
      </c>
      <c r="EQ50">
        <v>0</v>
      </c>
      <c r="ER50">
        <v>54.26</v>
      </c>
      <c r="ES50">
        <v>54.26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FQ50">
        <v>0</v>
      </c>
      <c r="FR50">
        <f t="shared" si="51"/>
        <v>0</v>
      </c>
      <c r="FS50">
        <v>0</v>
      </c>
      <c r="FX50">
        <v>0</v>
      </c>
      <c r="FY50">
        <v>0</v>
      </c>
      <c r="GA50" t="s">
        <v>3</v>
      </c>
      <c r="GD50">
        <v>0</v>
      </c>
      <c r="GF50">
        <v>1023277687</v>
      </c>
      <c r="GG50">
        <v>2</v>
      </c>
      <c r="GH50">
        <v>1</v>
      </c>
      <c r="GI50">
        <v>2</v>
      </c>
      <c r="GJ50">
        <v>0</v>
      </c>
      <c r="GK50">
        <f>ROUND(R50*(R12)/100,2)</f>
        <v>0</v>
      </c>
      <c r="GL50">
        <f t="shared" si="52"/>
        <v>0</v>
      </c>
      <c r="GM50">
        <f t="shared" si="53"/>
        <v>1430.29</v>
      </c>
      <c r="GN50">
        <f t="shared" si="54"/>
        <v>1430.29</v>
      </c>
      <c r="GO50">
        <f t="shared" si="55"/>
        <v>0</v>
      </c>
      <c r="GP50">
        <f t="shared" si="56"/>
        <v>0</v>
      </c>
      <c r="GR50">
        <v>0</v>
      </c>
      <c r="GS50">
        <v>3</v>
      </c>
      <c r="GT50">
        <v>0</v>
      </c>
      <c r="GU50" t="s">
        <v>3</v>
      </c>
      <c r="GV50">
        <f t="shared" si="57"/>
        <v>0</v>
      </c>
      <c r="GW50">
        <v>1</v>
      </c>
      <c r="GX50">
        <f t="shared" si="58"/>
        <v>0</v>
      </c>
      <c r="HA50">
        <v>0</v>
      </c>
      <c r="HB50">
        <v>0</v>
      </c>
      <c r="HC50">
        <f t="shared" si="59"/>
        <v>0</v>
      </c>
      <c r="HE50" t="s">
        <v>3</v>
      </c>
      <c r="HF50" t="s">
        <v>3</v>
      </c>
      <c r="HM50" t="s">
        <v>3</v>
      </c>
      <c r="HN50" t="s">
        <v>3</v>
      </c>
      <c r="HO50" t="s">
        <v>3</v>
      </c>
      <c r="HP50" t="s">
        <v>3</v>
      </c>
      <c r="HQ50" t="s">
        <v>3</v>
      </c>
      <c r="IK50">
        <v>0</v>
      </c>
    </row>
    <row r="51" spans="1:245" x14ac:dyDescent="0.2">
      <c r="A51">
        <v>17</v>
      </c>
      <c r="B51">
        <v>1</v>
      </c>
      <c r="E51" t="s">
        <v>98</v>
      </c>
      <c r="F51" t="s">
        <v>99</v>
      </c>
      <c r="G51" t="s">
        <v>267</v>
      </c>
      <c r="H51" t="s">
        <v>63</v>
      </c>
      <c r="I51">
        <v>4</v>
      </c>
      <c r="J51">
        <v>0</v>
      </c>
      <c r="K51">
        <v>4</v>
      </c>
      <c r="O51">
        <f t="shared" si="28"/>
        <v>1023.26</v>
      </c>
      <c r="P51">
        <f t="shared" si="29"/>
        <v>1023.26</v>
      </c>
      <c r="Q51">
        <f>(ROUND((ROUND(((ET51)*AV51*I51),2)*BB51),2)+ROUND((ROUND(((AE51-(EU51))*AV51*I51),2)*BS51),2))</f>
        <v>0</v>
      </c>
      <c r="R51">
        <f t="shared" si="30"/>
        <v>0</v>
      </c>
      <c r="S51">
        <f t="shared" si="31"/>
        <v>0</v>
      </c>
      <c r="T51">
        <f t="shared" si="32"/>
        <v>0</v>
      </c>
      <c r="U51">
        <f t="shared" si="33"/>
        <v>0</v>
      </c>
      <c r="V51">
        <f t="shared" si="34"/>
        <v>0</v>
      </c>
      <c r="W51">
        <f t="shared" si="35"/>
        <v>0</v>
      </c>
      <c r="X51">
        <f t="shared" si="36"/>
        <v>0</v>
      </c>
      <c r="Y51">
        <f t="shared" si="37"/>
        <v>0</v>
      </c>
      <c r="AA51">
        <v>50732134</v>
      </c>
      <c r="AB51">
        <f t="shared" si="38"/>
        <v>56.1</v>
      </c>
      <c r="AC51">
        <f>ROUND((ES51),6)</f>
        <v>56.1</v>
      </c>
      <c r="AD51">
        <f>ROUND((((ET51)-(EU51))+AE51),6)</f>
        <v>0</v>
      </c>
      <c r="AE51">
        <f t="shared" si="60"/>
        <v>0</v>
      </c>
      <c r="AF51">
        <f t="shared" si="60"/>
        <v>0</v>
      </c>
      <c r="AG51">
        <f t="shared" si="39"/>
        <v>0</v>
      </c>
      <c r="AH51">
        <f t="shared" si="61"/>
        <v>0</v>
      </c>
      <c r="AI51">
        <f t="shared" si="61"/>
        <v>0</v>
      </c>
      <c r="AJ51">
        <f t="shared" si="40"/>
        <v>0</v>
      </c>
      <c r="AK51">
        <v>56.1</v>
      </c>
      <c r="AL51">
        <v>56.1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4.5599999999999996</v>
      </c>
      <c r="BD51" t="s">
        <v>3</v>
      </c>
      <c r="BE51" t="s">
        <v>3</v>
      </c>
      <c r="BF51" t="s">
        <v>3</v>
      </c>
      <c r="BG51" t="s">
        <v>3</v>
      </c>
      <c r="BH51">
        <v>3</v>
      </c>
      <c r="BI51">
        <v>1</v>
      </c>
      <c r="BJ51" t="s">
        <v>100</v>
      </c>
      <c r="BM51">
        <v>1617</v>
      </c>
      <c r="BN51">
        <v>0</v>
      </c>
      <c r="BO51" t="s">
        <v>99</v>
      </c>
      <c r="BP51">
        <v>1</v>
      </c>
      <c r="BQ51">
        <v>200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0</v>
      </c>
      <c r="CA51">
        <v>0</v>
      </c>
      <c r="CB51" t="s">
        <v>3</v>
      </c>
      <c r="CE51">
        <v>30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41"/>
        <v>1023.26</v>
      </c>
      <c r="CQ51">
        <f t="shared" si="42"/>
        <v>255.82</v>
      </c>
      <c r="CR51">
        <f>(ROUND((ROUND(((ET51)*AV51*1),2)*BB51),2)+ROUND((ROUND(((AE51-(EU51))*AV51*1),2)*BS51),2))</f>
        <v>0</v>
      </c>
      <c r="CS51">
        <f t="shared" si="43"/>
        <v>0</v>
      </c>
      <c r="CT51">
        <f t="shared" si="44"/>
        <v>0</v>
      </c>
      <c r="CU51">
        <f t="shared" si="45"/>
        <v>0</v>
      </c>
      <c r="CV51">
        <f t="shared" si="46"/>
        <v>0</v>
      </c>
      <c r="CW51">
        <f t="shared" si="47"/>
        <v>0</v>
      </c>
      <c r="CX51">
        <f t="shared" si="48"/>
        <v>0</v>
      </c>
      <c r="CY51">
        <f t="shared" si="49"/>
        <v>0</v>
      </c>
      <c r="CZ51">
        <f t="shared" si="50"/>
        <v>0</v>
      </c>
      <c r="DC51" t="s">
        <v>3</v>
      </c>
      <c r="DD51" t="s">
        <v>3</v>
      </c>
      <c r="DE51" t="s">
        <v>3</v>
      </c>
      <c r="DF51" t="s">
        <v>3</v>
      </c>
      <c r="DG51" t="s">
        <v>3</v>
      </c>
      <c r="DH51" t="s">
        <v>3</v>
      </c>
      <c r="DI51" t="s">
        <v>3</v>
      </c>
      <c r="DJ51" t="s">
        <v>3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1009</v>
      </c>
      <c r="DV51" t="s">
        <v>63</v>
      </c>
      <c r="DW51" t="s">
        <v>63</v>
      </c>
      <c r="DX51">
        <v>1</v>
      </c>
      <c r="DZ51" t="s">
        <v>3</v>
      </c>
      <c r="EA51" t="s">
        <v>3</v>
      </c>
      <c r="EB51" t="s">
        <v>3</v>
      </c>
      <c r="EC51" t="s">
        <v>3</v>
      </c>
      <c r="EE51">
        <v>50003279</v>
      </c>
      <c r="EF51">
        <v>200</v>
      </c>
      <c r="EG51" t="s">
        <v>48</v>
      </c>
      <c r="EH51">
        <v>0</v>
      </c>
      <c r="EI51" t="s">
        <v>3</v>
      </c>
      <c r="EJ51">
        <v>1</v>
      </c>
      <c r="EK51">
        <v>1617</v>
      </c>
      <c r="EL51" t="s">
        <v>49</v>
      </c>
      <c r="EM51" t="s">
        <v>50</v>
      </c>
      <c r="EO51" t="s">
        <v>3</v>
      </c>
      <c r="EQ51">
        <v>0</v>
      </c>
      <c r="ER51">
        <v>56.1</v>
      </c>
      <c r="ES51">
        <v>56.1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FQ51">
        <v>0</v>
      </c>
      <c r="FR51">
        <f t="shared" si="51"/>
        <v>0</v>
      </c>
      <c r="FS51">
        <v>0</v>
      </c>
      <c r="FX51">
        <v>0</v>
      </c>
      <c r="FY51">
        <v>0</v>
      </c>
      <c r="GA51" t="s">
        <v>3</v>
      </c>
      <c r="GD51">
        <v>0</v>
      </c>
      <c r="GF51">
        <v>1798772706</v>
      </c>
      <c r="GG51">
        <v>2</v>
      </c>
      <c r="GH51">
        <v>1</v>
      </c>
      <c r="GI51">
        <v>2</v>
      </c>
      <c r="GJ51">
        <v>0</v>
      </c>
      <c r="GK51">
        <f>ROUND(R51*(R12)/100,2)</f>
        <v>0</v>
      </c>
      <c r="GL51">
        <f t="shared" si="52"/>
        <v>0</v>
      </c>
      <c r="GM51">
        <f t="shared" si="53"/>
        <v>1023.26</v>
      </c>
      <c r="GN51">
        <f t="shared" si="54"/>
        <v>1023.26</v>
      </c>
      <c r="GO51">
        <f t="shared" si="55"/>
        <v>0</v>
      </c>
      <c r="GP51">
        <f t="shared" si="56"/>
        <v>0</v>
      </c>
      <c r="GR51">
        <v>0</v>
      </c>
      <c r="GS51">
        <v>3</v>
      </c>
      <c r="GT51">
        <v>0</v>
      </c>
      <c r="GU51" t="s">
        <v>3</v>
      </c>
      <c r="GV51">
        <f t="shared" si="57"/>
        <v>0</v>
      </c>
      <c r="GW51">
        <v>1</v>
      </c>
      <c r="GX51">
        <f t="shared" si="58"/>
        <v>0</v>
      </c>
      <c r="HA51">
        <v>0</v>
      </c>
      <c r="HB51">
        <v>0</v>
      </c>
      <c r="HC51">
        <f t="shared" si="59"/>
        <v>0</v>
      </c>
      <c r="HE51" t="s">
        <v>3</v>
      </c>
      <c r="HF51" t="s">
        <v>3</v>
      </c>
      <c r="HM51" t="s">
        <v>3</v>
      </c>
      <c r="HN51" t="s">
        <v>3</v>
      </c>
      <c r="HO51" t="s">
        <v>3</v>
      </c>
      <c r="HP51" t="s">
        <v>3</v>
      </c>
      <c r="HQ51" t="s">
        <v>3</v>
      </c>
      <c r="IK51">
        <v>0</v>
      </c>
    </row>
    <row r="52" spans="1:245" x14ac:dyDescent="0.2">
      <c r="A52">
        <v>17</v>
      </c>
      <c r="B52">
        <v>1</v>
      </c>
      <c r="E52" t="s">
        <v>101</v>
      </c>
      <c r="F52" t="s">
        <v>102</v>
      </c>
      <c r="G52" t="s">
        <v>103</v>
      </c>
      <c r="H52" t="s">
        <v>42</v>
      </c>
      <c r="I52">
        <v>6</v>
      </c>
      <c r="J52">
        <v>0</v>
      </c>
      <c r="K52">
        <v>6</v>
      </c>
      <c r="O52">
        <f t="shared" si="28"/>
        <v>6890.75</v>
      </c>
      <c r="P52">
        <f t="shared" si="29"/>
        <v>6890.75</v>
      </c>
      <c r="Q52">
        <f>(ROUND((ROUND(((ET52)*AV52*I52),2)*BB52),2)+ROUND((ROUND(((AE52-(EU52))*AV52*I52),2)*BS52),2))</f>
        <v>0</v>
      </c>
      <c r="R52">
        <f t="shared" si="30"/>
        <v>0</v>
      </c>
      <c r="S52">
        <f t="shared" si="31"/>
        <v>0</v>
      </c>
      <c r="T52">
        <f t="shared" si="32"/>
        <v>0</v>
      </c>
      <c r="U52">
        <f t="shared" si="33"/>
        <v>0</v>
      </c>
      <c r="V52">
        <f t="shared" si="34"/>
        <v>0</v>
      </c>
      <c r="W52">
        <f t="shared" si="35"/>
        <v>0</v>
      </c>
      <c r="X52">
        <f t="shared" si="36"/>
        <v>0</v>
      </c>
      <c r="Y52">
        <f t="shared" si="37"/>
        <v>0</v>
      </c>
      <c r="AA52">
        <v>50732134</v>
      </c>
      <c r="AB52">
        <f t="shared" si="38"/>
        <v>192.05</v>
      </c>
      <c r="AC52">
        <f>ROUND((ES52),6)</f>
        <v>192.05</v>
      </c>
      <c r="AD52">
        <f>ROUND((((ET52)-(EU52))+AE52),6)</f>
        <v>0</v>
      </c>
      <c r="AE52">
        <f t="shared" si="60"/>
        <v>0</v>
      </c>
      <c r="AF52">
        <f t="shared" si="60"/>
        <v>0</v>
      </c>
      <c r="AG52">
        <f t="shared" si="39"/>
        <v>0</v>
      </c>
      <c r="AH52">
        <f t="shared" si="61"/>
        <v>0</v>
      </c>
      <c r="AI52">
        <f t="shared" si="61"/>
        <v>0</v>
      </c>
      <c r="AJ52">
        <f t="shared" si="40"/>
        <v>0</v>
      </c>
      <c r="AK52">
        <v>192.05</v>
      </c>
      <c r="AL52">
        <v>192.05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5.98</v>
      </c>
      <c r="BD52" t="s">
        <v>3</v>
      </c>
      <c r="BE52" t="s">
        <v>3</v>
      </c>
      <c r="BF52" t="s">
        <v>3</v>
      </c>
      <c r="BG52" t="s">
        <v>3</v>
      </c>
      <c r="BH52">
        <v>3</v>
      </c>
      <c r="BI52">
        <v>1</v>
      </c>
      <c r="BJ52" t="s">
        <v>104</v>
      </c>
      <c r="BM52">
        <v>1617</v>
      </c>
      <c r="BN52">
        <v>0</v>
      </c>
      <c r="BO52" t="s">
        <v>102</v>
      </c>
      <c r="BP52">
        <v>1</v>
      </c>
      <c r="BQ52">
        <v>200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0</v>
      </c>
      <c r="CA52">
        <v>0</v>
      </c>
      <c r="CB52" t="s">
        <v>3</v>
      </c>
      <c r="CE52">
        <v>30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41"/>
        <v>6890.75</v>
      </c>
      <c r="CQ52">
        <f t="shared" si="42"/>
        <v>1148.46</v>
      </c>
      <c r="CR52">
        <f>(ROUND((ROUND(((ET52)*AV52*1),2)*BB52),2)+ROUND((ROUND(((AE52-(EU52))*AV52*1),2)*BS52),2))</f>
        <v>0</v>
      </c>
      <c r="CS52">
        <f t="shared" si="43"/>
        <v>0</v>
      </c>
      <c r="CT52">
        <f t="shared" si="44"/>
        <v>0</v>
      </c>
      <c r="CU52">
        <f t="shared" si="45"/>
        <v>0</v>
      </c>
      <c r="CV52">
        <f t="shared" si="46"/>
        <v>0</v>
      </c>
      <c r="CW52">
        <f t="shared" si="47"/>
        <v>0</v>
      </c>
      <c r="CX52">
        <f t="shared" si="48"/>
        <v>0</v>
      </c>
      <c r="CY52">
        <f t="shared" si="49"/>
        <v>0</v>
      </c>
      <c r="CZ52">
        <f t="shared" si="50"/>
        <v>0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1003</v>
      </c>
      <c r="DV52" t="s">
        <v>42</v>
      </c>
      <c r="DW52" t="s">
        <v>42</v>
      </c>
      <c r="DX52">
        <v>1</v>
      </c>
      <c r="DZ52" t="s">
        <v>3</v>
      </c>
      <c r="EA52" t="s">
        <v>3</v>
      </c>
      <c r="EB52" t="s">
        <v>3</v>
      </c>
      <c r="EC52" t="s">
        <v>3</v>
      </c>
      <c r="EE52">
        <v>50003279</v>
      </c>
      <c r="EF52">
        <v>200</v>
      </c>
      <c r="EG52" t="s">
        <v>48</v>
      </c>
      <c r="EH52">
        <v>0</v>
      </c>
      <c r="EI52" t="s">
        <v>3</v>
      </c>
      <c r="EJ52">
        <v>1</v>
      </c>
      <c r="EK52">
        <v>1617</v>
      </c>
      <c r="EL52" t="s">
        <v>49</v>
      </c>
      <c r="EM52" t="s">
        <v>50</v>
      </c>
      <c r="EO52" t="s">
        <v>3</v>
      </c>
      <c r="EQ52">
        <v>0</v>
      </c>
      <c r="ER52">
        <v>192.05</v>
      </c>
      <c r="ES52">
        <v>192.05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FQ52">
        <v>0</v>
      </c>
      <c r="FR52">
        <f t="shared" si="51"/>
        <v>0</v>
      </c>
      <c r="FS52">
        <v>0</v>
      </c>
      <c r="FX52">
        <v>0</v>
      </c>
      <c r="FY52">
        <v>0</v>
      </c>
      <c r="GA52" t="s">
        <v>3</v>
      </c>
      <c r="GD52">
        <v>0</v>
      </c>
      <c r="GF52">
        <v>-1112906905</v>
      </c>
      <c r="GG52">
        <v>2</v>
      </c>
      <c r="GH52">
        <v>1</v>
      </c>
      <c r="GI52">
        <v>2</v>
      </c>
      <c r="GJ52">
        <v>0</v>
      </c>
      <c r="GK52">
        <f>ROUND(R52*(R12)/100,2)</f>
        <v>0</v>
      </c>
      <c r="GL52">
        <f t="shared" si="52"/>
        <v>0</v>
      </c>
      <c r="GM52">
        <f t="shared" si="53"/>
        <v>6890.75</v>
      </c>
      <c r="GN52">
        <f t="shared" si="54"/>
        <v>6890.75</v>
      </c>
      <c r="GO52">
        <f t="shared" si="55"/>
        <v>0</v>
      </c>
      <c r="GP52">
        <f t="shared" si="56"/>
        <v>0</v>
      </c>
      <c r="GR52">
        <v>0</v>
      </c>
      <c r="GS52">
        <v>3</v>
      </c>
      <c r="GT52">
        <v>0</v>
      </c>
      <c r="GU52" t="s">
        <v>3</v>
      </c>
      <c r="GV52">
        <f t="shared" si="57"/>
        <v>0</v>
      </c>
      <c r="GW52">
        <v>1</v>
      </c>
      <c r="GX52">
        <f t="shared" si="58"/>
        <v>0</v>
      </c>
      <c r="HA52">
        <v>0</v>
      </c>
      <c r="HB52">
        <v>0</v>
      </c>
      <c r="HC52">
        <f t="shared" si="59"/>
        <v>0</v>
      </c>
      <c r="HE52" t="s">
        <v>3</v>
      </c>
      <c r="HF52" t="s">
        <v>3</v>
      </c>
      <c r="HM52" t="s">
        <v>3</v>
      </c>
      <c r="HN52" t="s">
        <v>3</v>
      </c>
      <c r="HO52" t="s">
        <v>3</v>
      </c>
      <c r="HP52" t="s">
        <v>3</v>
      </c>
      <c r="HQ52" t="s">
        <v>3</v>
      </c>
      <c r="IK52">
        <v>0</v>
      </c>
    </row>
    <row r="53" spans="1:245" x14ac:dyDescent="0.2">
      <c r="A53">
        <v>17</v>
      </c>
      <c r="B53">
        <v>1</v>
      </c>
      <c r="E53" t="s">
        <v>105</v>
      </c>
      <c r="F53" t="s">
        <v>106</v>
      </c>
      <c r="G53" t="s">
        <v>107</v>
      </c>
      <c r="H53" t="s">
        <v>108</v>
      </c>
      <c r="I53">
        <f>ROUND(1/100,9)</f>
        <v>0.01</v>
      </c>
      <c r="J53">
        <v>0</v>
      </c>
      <c r="K53">
        <f>ROUND(1/100,9)</f>
        <v>0.01</v>
      </c>
      <c r="O53">
        <f t="shared" si="28"/>
        <v>276.55</v>
      </c>
      <c r="P53">
        <f t="shared" si="29"/>
        <v>16.97</v>
      </c>
      <c r="Q53">
        <f>(ROUND((ROUND(((((ET53*1.2)*1.1))*AV53*I53),2)*BB53),2)+ROUND((ROUND(((AE53-(((EU53*1.2)*1.1)))*AV53*I53),2)*BS53),2))</f>
        <v>14.22</v>
      </c>
      <c r="R53">
        <f t="shared" si="30"/>
        <v>3.05</v>
      </c>
      <c r="S53">
        <f t="shared" si="31"/>
        <v>245.36</v>
      </c>
      <c r="T53">
        <f t="shared" si="32"/>
        <v>0</v>
      </c>
      <c r="U53">
        <f t="shared" si="33"/>
        <v>0.64679472000000005</v>
      </c>
      <c r="V53">
        <f t="shared" si="34"/>
        <v>0</v>
      </c>
      <c r="W53">
        <f t="shared" si="35"/>
        <v>0</v>
      </c>
      <c r="X53">
        <f t="shared" si="36"/>
        <v>213.46</v>
      </c>
      <c r="Y53">
        <f t="shared" si="37"/>
        <v>100.6</v>
      </c>
      <c r="AA53">
        <v>50732134</v>
      </c>
      <c r="AB53">
        <f t="shared" si="38"/>
        <v>1124.57</v>
      </c>
      <c r="AC53">
        <f>ROUND((((ES53*1)*1)),6)</f>
        <v>237.53</v>
      </c>
      <c r="AD53">
        <f>ROUND((((((ET53*1.2)*1.1))-(((EU53*1.2)*1.1)))+AE53),6)</f>
        <v>118.5492</v>
      </c>
      <c r="AE53">
        <f>ROUND((((EU53*1.2)*1.1)),6)</f>
        <v>9.1608000000000001</v>
      </c>
      <c r="AF53">
        <f>ROUND((((EV53*1.2)*1.1)),6)</f>
        <v>768.49080000000004</v>
      </c>
      <c r="AG53">
        <f t="shared" si="39"/>
        <v>0</v>
      </c>
      <c r="AH53">
        <f>(((EW53*1.2)*1.1))</f>
        <v>61.776000000000003</v>
      </c>
      <c r="AI53">
        <f>(((EX53*1.2)*1.1))</f>
        <v>0</v>
      </c>
      <c r="AJ53">
        <f t="shared" si="40"/>
        <v>0</v>
      </c>
      <c r="AK53">
        <v>909.53</v>
      </c>
      <c r="AL53">
        <v>237.53</v>
      </c>
      <c r="AM53">
        <v>89.81</v>
      </c>
      <c r="AN53">
        <v>6.94</v>
      </c>
      <c r="AO53">
        <v>582.19000000000005</v>
      </c>
      <c r="AP53">
        <v>0</v>
      </c>
      <c r="AQ53">
        <v>46.8</v>
      </c>
      <c r="AR53">
        <v>0</v>
      </c>
      <c r="AS53">
        <v>0</v>
      </c>
      <c r="AT53">
        <v>87</v>
      </c>
      <c r="AU53">
        <v>41</v>
      </c>
      <c r="AV53">
        <v>1.0469999999999999</v>
      </c>
      <c r="AW53">
        <v>1.0680000000000001</v>
      </c>
      <c r="AZ53">
        <v>1</v>
      </c>
      <c r="BA53">
        <v>30.48</v>
      </c>
      <c r="BB53">
        <v>11.47</v>
      </c>
      <c r="BC53">
        <v>6.68</v>
      </c>
      <c r="BD53" t="s">
        <v>3</v>
      </c>
      <c r="BE53" t="s">
        <v>3</v>
      </c>
      <c r="BF53" t="s">
        <v>3</v>
      </c>
      <c r="BG53" t="s">
        <v>3</v>
      </c>
      <c r="BH53">
        <v>0</v>
      </c>
      <c r="BI53">
        <v>1</v>
      </c>
      <c r="BJ53" t="s">
        <v>109</v>
      </c>
      <c r="BM53">
        <v>65</v>
      </c>
      <c r="BN53">
        <v>0</v>
      </c>
      <c r="BO53" t="s">
        <v>106</v>
      </c>
      <c r="BP53">
        <v>1</v>
      </c>
      <c r="BQ53">
        <v>30</v>
      </c>
      <c r="BR53">
        <v>0</v>
      </c>
      <c r="BS53">
        <v>30.48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87</v>
      </c>
      <c r="CA53">
        <v>41</v>
      </c>
      <c r="CB53" t="s">
        <v>3</v>
      </c>
      <c r="CE53">
        <v>30</v>
      </c>
      <c r="CF53">
        <v>0</v>
      </c>
      <c r="CG53">
        <v>0</v>
      </c>
      <c r="CM53">
        <v>0</v>
      </c>
      <c r="CN53" t="s">
        <v>265</v>
      </c>
      <c r="CO53">
        <v>0</v>
      </c>
      <c r="CP53">
        <f t="shared" si="41"/>
        <v>276.55</v>
      </c>
      <c r="CQ53">
        <f t="shared" si="42"/>
        <v>1694.58</v>
      </c>
      <c r="CR53">
        <f>(ROUND((ROUND(((((ET53*1.2)*1.1))*AV53*1),2)*BB53),2)+ROUND((ROUND(((AE53-(((EU53*1.2)*1.1)))*AV53*1),2)*BS53),2))</f>
        <v>1423.66</v>
      </c>
      <c r="CS53">
        <f t="shared" si="43"/>
        <v>292.3</v>
      </c>
      <c r="CT53">
        <f t="shared" si="44"/>
        <v>24524.51</v>
      </c>
      <c r="CU53">
        <f t="shared" si="45"/>
        <v>0</v>
      </c>
      <c r="CV53">
        <f t="shared" si="46"/>
        <v>64.679472000000004</v>
      </c>
      <c r="CW53">
        <f t="shared" si="47"/>
        <v>0</v>
      </c>
      <c r="CX53">
        <f t="shared" si="48"/>
        <v>0</v>
      </c>
      <c r="CY53">
        <f t="shared" si="49"/>
        <v>213.4632</v>
      </c>
      <c r="CZ53">
        <f t="shared" si="50"/>
        <v>100.5976</v>
      </c>
      <c r="DC53" t="s">
        <v>3</v>
      </c>
      <c r="DD53" t="s">
        <v>26</v>
      </c>
      <c r="DE53" t="s">
        <v>27</v>
      </c>
      <c r="DF53" t="s">
        <v>27</v>
      </c>
      <c r="DG53" t="s">
        <v>27</v>
      </c>
      <c r="DH53" t="s">
        <v>3</v>
      </c>
      <c r="DI53" t="s">
        <v>27</v>
      </c>
      <c r="DJ53" t="s">
        <v>27</v>
      </c>
      <c r="DK53" t="s">
        <v>3</v>
      </c>
      <c r="DL53" t="s">
        <v>3</v>
      </c>
      <c r="DM53" t="s">
        <v>3</v>
      </c>
      <c r="DN53">
        <v>105</v>
      </c>
      <c r="DO53">
        <v>77</v>
      </c>
      <c r="DP53">
        <v>1.0469999999999999</v>
      </c>
      <c r="DQ53">
        <v>1.0680000000000001</v>
      </c>
      <c r="DU53">
        <v>1005</v>
      </c>
      <c r="DV53" t="s">
        <v>108</v>
      </c>
      <c r="DW53" t="s">
        <v>108</v>
      </c>
      <c r="DX53">
        <v>100</v>
      </c>
      <c r="DZ53" t="s">
        <v>3</v>
      </c>
      <c r="EA53" t="s">
        <v>3</v>
      </c>
      <c r="EB53" t="s">
        <v>3</v>
      </c>
      <c r="EC53" t="s">
        <v>3</v>
      </c>
      <c r="EE53">
        <v>50001673</v>
      </c>
      <c r="EF53">
        <v>30</v>
      </c>
      <c r="EG53" t="s">
        <v>20</v>
      </c>
      <c r="EH53">
        <v>0</v>
      </c>
      <c r="EI53" t="s">
        <v>3</v>
      </c>
      <c r="EJ53">
        <v>1</v>
      </c>
      <c r="EK53">
        <v>65</v>
      </c>
      <c r="EL53" t="s">
        <v>110</v>
      </c>
      <c r="EM53" t="s">
        <v>111</v>
      </c>
      <c r="EO53" t="s">
        <v>31</v>
      </c>
      <c r="EQ53">
        <v>0</v>
      </c>
      <c r="ER53">
        <v>909.53</v>
      </c>
      <c r="ES53">
        <v>237.53</v>
      </c>
      <c r="ET53">
        <v>89.81</v>
      </c>
      <c r="EU53">
        <v>6.94</v>
      </c>
      <c r="EV53">
        <v>582.19000000000005</v>
      </c>
      <c r="EW53">
        <v>46.8</v>
      </c>
      <c r="EX53">
        <v>0</v>
      </c>
      <c r="EY53">
        <v>0</v>
      </c>
      <c r="FQ53">
        <v>0</v>
      </c>
      <c r="FR53">
        <f t="shared" si="51"/>
        <v>0</v>
      </c>
      <c r="FS53">
        <v>0</v>
      </c>
      <c r="FX53">
        <v>105</v>
      </c>
      <c r="FY53">
        <v>77</v>
      </c>
      <c r="GA53" t="s">
        <v>3</v>
      </c>
      <c r="GD53">
        <v>0</v>
      </c>
      <c r="GF53">
        <v>1948623234</v>
      </c>
      <c r="GG53">
        <v>2</v>
      </c>
      <c r="GH53">
        <v>1</v>
      </c>
      <c r="GI53">
        <v>2</v>
      </c>
      <c r="GJ53">
        <v>0</v>
      </c>
      <c r="GK53">
        <f>ROUND(R53*(R12)/100,2)</f>
        <v>4.88</v>
      </c>
      <c r="GL53">
        <f t="shared" si="52"/>
        <v>0</v>
      </c>
      <c r="GM53">
        <f t="shared" si="53"/>
        <v>595.49</v>
      </c>
      <c r="GN53">
        <f t="shared" si="54"/>
        <v>595.49</v>
      </c>
      <c r="GO53">
        <f t="shared" si="55"/>
        <v>0</v>
      </c>
      <c r="GP53">
        <f t="shared" si="56"/>
        <v>0</v>
      </c>
      <c r="GR53">
        <v>0</v>
      </c>
      <c r="GS53">
        <v>3</v>
      </c>
      <c r="GT53">
        <v>0</v>
      </c>
      <c r="GU53" t="s">
        <v>3</v>
      </c>
      <c r="GV53">
        <f t="shared" si="57"/>
        <v>0</v>
      </c>
      <c r="GW53">
        <v>1</v>
      </c>
      <c r="GX53">
        <f t="shared" si="58"/>
        <v>0</v>
      </c>
      <c r="HA53">
        <v>0</v>
      </c>
      <c r="HB53">
        <v>0</v>
      </c>
      <c r="HC53">
        <f t="shared" si="59"/>
        <v>0</v>
      </c>
      <c r="HE53" t="s">
        <v>3</v>
      </c>
      <c r="HF53" t="s">
        <v>3</v>
      </c>
      <c r="HM53" t="s">
        <v>3</v>
      </c>
      <c r="HN53" t="s">
        <v>3</v>
      </c>
      <c r="HO53" t="s">
        <v>3</v>
      </c>
      <c r="HP53" t="s">
        <v>3</v>
      </c>
      <c r="HQ53" t="s">
        <v>3</v>
      </c>
      <c r="IK53">
        <v>0</v>
      </c>
    </row>
    <row r="54" spans="1:245" x14ac:dyDescent="0.2">
      <c r="A54">
        <v>17</v>
      </c>
      <c r="B54">
        <v>1</v>
      </c>
      <c r="E54" t="s">
        <v>112</v>
      </c>
      <c r="F54" t="s">
        <v>113</v>
      </c>
      <c r="G54" t="s">
        <v>114</v>
      </c>
      <c r="H54" t="s">
        <v>108</v>
      </c>
      <c r="I54">
        <f>ROUND(1/100,9)</f>
        <v>0.01</v>
      </c>
      <c r="J54">
        <v>0</v>
      </c>
      <c r="K54">
        <f>ROUND(1/100,9)</f>
        <v>0.01</v>
      </c>
      <c r="O54">
        <f t="shared" si="28"/>
        <v>127.73</v>
      </c>
      <c r="P54">
        <f t="shared" si="29"/>
        <v>16.97</v>
      </c>
      <c r="Q54">
        <f>(ROUND((ROUND(((((ET54*1.2)*1.1))*AV54*I54),2)*BB54),2)+ROUND((ROUND(((AE54-(((EU54*1.2)*1.1)))*AV54*I54),2)*BS54),2))</f>
        <v>15.97</v>
      </c>
      <c r="R54">
        <f t="shared" si="30"/>
        <v>3.66</v>
      </c>
      <c r="S54">
        <f t="shared" si="31"/>
        <v>94.79</v>
      </c>
      <c r="T54">
        <f t="shared" si="32"/>
        <v>0</v>
      </c>
      <c r="U54">
        <f t="shared" si="33"/>
        <v>0.27779004000000002</v>
      </c>
      <c r="V54">
        <f t="shared" si="34"/>
        <v>0</v>
      </c>
      <c r="W54">
        <f t="shared" si="35"/>
        <v>0</v>
      </c>
      <c r="X54">
        <f t="shared" si="36"/>
        <v>82.47</v>
      </c>
      <c r="Y54">
        <f t="shared" si="37"/>
        <v>38.86</v>
      </c>
      <c r="AA54">
        <v>50732134</v>
      </c>
      <c r="AB54">
        <f t="shared" si="38"/>
        <v>666.39800000000002</v>
      </c>
      <c r="AC54">
        <f>ROUND((((ES54*1)*1)),6)</f>
        <v>237.53</v>
      </c>
      <c r="AD54">
        <f>ROUND((((((ET54*1.2)*1.1))-(((EU54*1.2)*1.1)))+AE54),6)</f>
        <v>132.23759999999999</v>
      </c>
      <c r="AE54">
        <f>ROUND((((EU54*1.2)*1.1)),6)</f>
        <v>11.6556</v>
      </c>
      <c r="AF54">
        <f>ROUND((((EV54*1.2)*1.1)),6)</f>
        <v>296.63040000000001</v>
      </c>
      <c r="AG54">
        <f t="shared" si="39"/>
        <v>0</v>
      </c>
      <c r="AH54">
        <f>(((EW54*1.2)*1.1))</f>
        <v>26.532000000000004</v>
      </c>
      <c r="AI54">
        <f>(((EX54*1.2)*1.1))</f>
        <v>0</v>
      </c>
      <c r="AJ54">
        <f t="shared" si="40"/>
        <v>0</v>
      </c>
      <c r="AK54">
        <v>562.42999999999995</v>
      </c>
      <c r="AL54">
        <v>237.53</v>
      </c>
      <c r="AM54">
        <v>100.18</v>
      </c>
      <c r="AN54">
        <v>8.83</v>
      </c>
      <c r="AO54">
        <v>224.72</v>
      </c>
      <c r="AP54">
        <v>0</v>
      </c>
      <c r="AQ54">
        <v>20.100000000000001</v>
      </c>
      <c r="AR54">
        <v>0</v>
      </c>
      <c r="AS54">
        <v>0</v>
      </c>
      <c r="AT54">
        <v>87</v>
      </c>
      <c r="AU54">
        <v>41</v>
      </c>
      <c r="AV54">
        <v>1.0469999999999999</v>
      </c>
      <c r="AW54">
        <v>1.0680000000000001</v>
      </c>
      <c r="AZ54">
        <v>1</v>
      </c>
      <c r="BA54">
        <v>30.48</v>
      </c>
      <c r="BB54">
        <v>11.57</v>
      </c>
      <c r="BC54">
        <v>6.68</v>
      </c>
      <c r="BD54" t="s">
        <v>3</v>
      </c>
      <c r="BE54" t="s">
        <v>3</v>
      </c>
      <c r="BF54" t="s">
        <v>3</v>
      </c>
      <c r="BG54" t="s">
        <v>3</v>
      </c>
      <c r="BH54">
        <v>0</v>
      </c>
      <c r="BI54">
        <v>1</v>
      </c>
      <c r="BJ54" t="s">
        <v>115</v>
      </c>
      <c r="BM54">
        <v>65</v>
      </c>
      <c r="BN54">
        <v>0</v>
      </c>
      <c r="BO54" t="s">
        <v>113</v>
      </c>
      <c r="BP54">
        <v>1</v>
      </c>
      <c r="BQ54">
        <v>30</v>
      </c>
      <c r="BR54">
        <v>0</v>
      </c>
      <c r="BS54">
        <v>30.48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87</v>
      </c>
      <c r="CA54">
        <v>41</v>
      </c>
      <c r="CB54" t="s">
        <v>3</v>
      </c>
      <c r="CE54">
        <v>30</v>
      </c>
      <c r="CF54">
        <v>0</v>
      </c>
      <c r="CG54">
        <v>0</v>
      </c>
      <c r="CM54">
        <v>0</v>
      </c>
      <c r="CN54" t="s">
        <v>265</v>
      </c>
      <c r="CO54">
        <v>0</v>
      </c>
      <c r="CP54">
        <f t="shared" si="41"/>
        <v>127.73</v>
      </c>
      <c r="CQ54">
        <f t="shared" si="42"/>
        <v>1694.58</v>
      </c>
      <c r="CR54">
        <f>(ROUND((ROUND(((((ET54*1.2)*1.1))*AV54*1),2)*BB54),2)+ROUND((ROUND(((AE54-(((EU54*1.2)*1.1)))*AV54*1),2)*BS54),2))</f>
        <v>1601.87</v>
      </c>
      <c r="CS54">
        <f t="shared" si="43"/>
        <v>371.86</v>
      </c>
      <c r="CT54">
        <f t="shared" si="44"/>
        <v>9466.17</v>
      </c>
      <c r="CU54">
        <f t="shared" si="45"/>
        <v>0</v>
      </c>
      <c r="CV54">
        <f t="shared" si="46"/>
        <v>27.779004</v>
      </c>
      <c r="CW54">
        <f t="shared" si="47"/>
        <v>0</v>
      </c>
      <c r="CX54">
        <f t="shared" si="48"/>
        <v>0</v>
      </c>
      <c r="CY54">
        <f t="shared" si="49"/>
        <v>82.467300000000009</v>
      </c>
      <c r="CZ54">
        <f t="shared" si="50"/>
        <v>38.863900000000001</v>
      </c>
      <c r="DC54" t="s">
        <v>3</v>
      </c>
      <c r="DD54" t="s">
        <v>26</v>
      </c>
      <c r="DE54" t="s">
        <v>27</v>
      </c>
      <c r="DF54" t="s">
        <v>27</v>
      </c>
      <c r="DG54" t="s">
        <v>27</v>
      </c>
      <c r="DH54" t="s">
        <v>3</v>
      </c>
      <c r="DI54" t="s">
        <v>27</v>
      </c>
      <c r="DJ54" t="s">
        <v>27</v>
      </c>
      <c r="DK54" t="s">
        <v>3</v>
      </c>
      <c r="DL54" t="s">
        <v>3</v>
      </c>
      <c r="DM54" t="s">
        <v>3</v>
      </c>
      <c r="DN54">
        <v>105</v>
      </c>
      <c r="DO54">
        <v>77</v>
      </c>
      <c r="DP54">
        <v>1.0469999999999999</v>
      </c>
      <c r="DQ54">
        <v>1.0680000000000001</v>
      </c>
      <c r="DU54">
        <v>1005</v>
      </c>
      <c r="DV54" t="s">
        <v>108</v>
      </c>
      <c r="DW54" t="s">
        <v>108</v>
      </c>
      <c r="DX54">
        <v>100</v>
      </c>
      <c r="DZ54" t="s">
        <v>3</v>
      </c>
      <c r="EA54" t="s">
        <v>3</v>
      </c>
      <c r="EB54" t="s">
        <v>3</v>
      </c>
      <c r="EC54" t="s">
        <v>3</v>
      </c>
      <c r="EE54">
        <v>50001673</v>
      </c>
      <c r="EF54">
        <v>30</v>
      </c>
      <c r="EG54" t="s">
        <v>20</v>
      </c>
      <c r="EH54">
        <v>0</v>
      </c>
      <c r="EI54" t="s">
        <v>3</v>
      </c>
      <c r="EJ54">
        <v>1</v>
      </c>
      <c r="EK54">
        <v>65</v>
      </c>
      <c r="EL54" t="s">
        <v>110</v>
      </c>
      <c r="EM54" t="s">
        <v>111</v>
      </c>
      <c r="EO54" t="s">
        <v>31</v>
      </c>
      <c r="EQ54">
        <v>0</v>
      </c>
      <c r="ER54">
        <v>562.42999999999995</v>
      </c>
      <c r="ES54">
        <v>237.53</v>
      </c>
      <c r="ET54">
        <v>100.18</v>
      </c>
      <c r="EU54">
        <v>8.83</v>
      </c>
      <c r="EV54">
        <v>224.72</v>
      </c>
      <c r="EW54">
        <v>20.100000000000001</v>
      </c>
      <c r="EX54">
        <v>0</v>
      </c>
      <c r="EY54">
        <v>0</v>
      </c>
      <c r="FQ54">
        <v>0</v>
      </c>
      <c r="FR54">
        <f t="shared" si="51"/>
        <v>0</v>
      </c>
      <c r="FS54">
        <v>0</v>
      </c>
      <c r="FX54">
        <v>105</v>
      </c>
      <c r="FY54">
        <v>77</v>
      </c>
      <c r="GA54" t="s">
        <v>3</v>
      </c>
      <c r="GD54">
        <v>0</v>
      </c>
      <c r="GF54">
        <v>-34401803</v>
      </c>
      <c r="GG54">
        <v>2</v>
      </c>
      <c r="GH54">
        <v>1</v>
      </c>
      <c r="GI54">
        <v>2</v>
      </c>
      <c r="GJ54">
        <v>0</v>
      </c>
      <c r="GK54">
        <f>ROUND(R54*(R12)/100,2)</f>
        <v>5.86</v>
      </c>
      <c r="GL54">
        <f t="shared" si="52"/>
        <v>0</v>
      </c>
      <c r="GM54">
        <f t="shared" si="53"/>
        <v>254.92</v>
      </c>
      <c r="GN54">
        <f t="shared" si="54"/>
        <v>254.92</v>
      </c>
      <c r="GO54">
        <f t="shared" si="55"/>
        <v>0</v>
      </c>
      <c r="GP54">
        <f t="shared" si="56"/>
        <v>0</v>
      </c>
      <c r="GR54">
        <v>0</v>
      </c>
      <c r="GS54">
        <v>3</v>
      </c>
      <c r="GT54">
        <v>0</v>
      </c>
      <c r="GU54" t="s">
        <v>3</v>
      </c>
      <c r="GV54">
        <f t="shared" si="57"/>
        <v>0</v>
      </c>
      <c r="GW54">
        <v>1</v>
      </c>
      <c r="GX54">
        <f t="shared" si="58"/>
        <v>0</v>
      </c>
      <c r="HA54">
        <v>0</v>
      </c>
      <c r="HB54">
        <v>0</v>
      </c>
      <c r="HC54">
        <f t="shared" si="59"/>
        <v>0</v>
      </c>
      <c r="HE54" t="s">
        <v>3</v>
      </c>
      <c r="HF54" t="s">
        <v>3</v>
      </c>
      <c r="HM54" t="s">
        <v>3</v>
      </c>
      <c r="HN54" t="s">
        <v>3</v>
      </c>
      <c r="HO54" t="s">
        <v>3</v>
      </c>
      <c r="HP54" t="s">
        <v>3</v>
      </c>
      <c r="HQ54" t="s">
        <v>3</v>
      </c>
      <c r="IK54">
        <v>0</v>
      </c>
    </row>
    <row r="55" spans="1:245" x14ac:dyDescent="0.2">
      <c r="A55">
        <v>17</v>
      </c>
      <c r="B55">
        <v>1</v>
      </c>
      <c r="E55" t="s">
        <v>116</v>
      </c>
      <c r="F55" t="s">
        <v>117</v>
      </c>
      <c r="G55" t="s">
        <v>118</v>
      </c>
      <c r="H55" t="s">
        <v>58</v>
      </c>
      <c r="I55">
        <v>0.125</v>
      </c>
      <c r="J55">
        <v>0</v>
      </c>
      <c r="K55">
        <v>0.125</v>
      </c>
      <c r="O55">
        <f t="shared" si="28"/>
        <v>541.34</v>
      </c>
      <c r="P55">
        <f t="shared" si="29"/>
        <v>541.34</v>
      </c>
      <c r="Q55">
        <f>(ROUND((ROUND(((ET55)*AV55*I55),2)*BB55),2)+ROUND((ROUND(((AE55-(EU55))*AV55*I55),2)*BS55),2))</f>
        <v>0</v>
      </c>
      <c r="R55">
        <f t="shared" si="30"/>
        <v>0</v>
      </c>
      <c r="S55">
        <f t="shared" si="31"/>
        <v>0</v>
      </c>
      <c r="T55">
        <f t="shared" si="32"/>
        <v>0</v>
      </c>
      <c r="U55">
        <f t="shared" si="33"/>
        <v>0</v>
      </c>
      <c r="V55">
        <f t="shared" si="34"/>
        <v>0</v>
      </c>
      <c r="W55">
        <f t="shared" si="35"/>
        <v>0</v>
      </c>
      <c r="X55">
        <f t="shared" si="36"/>
        <v>0</v>
      </c>
      <c r="Y55">
        <f t="shared" si="37"/>
        <v>0</v>
      </c>
      <c r="AA55">
        <v>50732134</v>
      </c>
      <c r="AB55">
        <f t="shared" si="38"/>
        <v>451.14</v>
      </c>
      <c r="AC55">
        <f>ROUND((ES55),6)</f>
        <v>451.14</v>
      </c>
      <c r="AD55">
        <f>ROUND((((ET55)-(EU55))+AE55),6)</f>
        <v>0</v>
      </c>
      <c r="AE55">
        <f t="shared" ref="AE55:AF57" si="62">ROUND((EU55),6)</f>
        <v>0</v>
      </c>
      <c r="AF55">
        <f t="shared" si="62"/>
        <v>0</v>
      </c>
      <c r="AG55">
        <f t="shared" si="39"/>
        <v>0</v>
      </c>
      <c r="AH55">
        <f t="shared" ref="AH55:AI57" si="63">(EW55)</f>
        <v>0</v>
      </c>
      <c r="AI55">
        <f t="shared" si="63"/>
        <v>0</v>
      </c>
      <c r="AJ55">
        <f t="shared" si="40"/>
        <v>0</v>
      </c>
      <c r="AK55">
        <v>451.14</v>
      </c>
      <c r="AL55">
        <v>451.14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1</v>
      </c>
      <c r="AW55">
        <v>1</v>
      </c>
      <c r="AZ55">
        <v>1</v>
      </c>
      <c r="BA55">
        <v>1</v>
      </c>
      <c r="BB55">
        <v>1</v>
      </c>
      <c r="BC55">
        <v>9.6</v>
      </c>
      <c r="BD55" t="s">
        <v>3</v>
      </c>
      <c r="BE55" t="s">
        <v>3</v>
      </c>
      <c r="BF55" t="s">
        <v>3</v>
      </c>
      <c r="BG55" t="s">
        <v>3</v>
      </c>
      <c r="BH55">
        <v>3</v>
      </c>
      <c r="BI55">
        <v>1</v>
      </c>
      <c r="BJ55" t="s">
        <v>119</v>
      </c>
      <c r="BM55">
        <v>1617</v>
      </c>
      <c r="BN55">
        <v>0</v>
      </c>
      <c r="BO55" t="s">
        <v>117</v>
      </c>
      <c r="BP55">
        <v>1</v>
      </c>
      <c r="BQ55">
        <v>200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0</v>
      </c>
      <c r="CA55">
        <v>0</v>
      </c>
      <c r="CB55" t="s">
        <v>3</v>
      </c>
      <c r="CE55">
        <v>30</v>
      </c>
      <c r="CF55">
        <v>0</v>
      </c>
      <c r="CG55">
        <v>0</v>
      </c>
      <c r="CM55">
        <v>0</v>
      </c>
      <c r="CN55" t="s">
        <v>3</v>
      </c>
      <c r="CO55">
        <v>0</v>
      </c>
      <c r="CP55">
        <f t="shared" si="41"/>
        <v>541.34</v>
      </c>
      <c r="CQ55">
        <f t="shared" si="42"/>
        <v>4330.9399999999996</v>
      </c>
      <c r="CR55">
        <f>(ROUND((ROUND(((ET55)*AV55*1),2)*BB55),2)+ROUND((ROUND(((AE55-(EU55))*AV55*1),2)*BS55),2))</f>
        <v>0</v>
      </c>
      <c r="CS55">
        <f t="shared" si="43"/>
        <v>0</v>
      </c>
      <c r="CT55">
        <f t="shared" si="44"/>
        <v>0</v>
      </c>
      <c r="CU55">
        <f t="shared" si="45"/>
        <v>0</v>
      </c>
      <c r="CV55">
        <f t="shared" si="46"/>
        <v>0</v>
      </c>
      <c r="CW55">
        <f t="shared" si="47"/>
        <v>0</v>
      </c>
      <c r="CX55">
        <f t="shared" si="48"/>
        <v>0</v>
      </c>
      <c r="CY55">
        <f t="shared" si="49"/>
        <v>0</v>
      </c>
      <c r="CZ55">
        <f t="shared" si="50"/>
        <v>0</v>
      </c>
      <c r="DC55" t="s">
        <v>3</v>
      </c>
      <c r="DD55" t="s">
        <v>3</v>
      </c>
      <c r="DE55" t="s">
        <v>3</v>
      </c>
      <c r="DF55" t="s">
        <v>3</v>
      </c>
      <c r="DG55" t="s">
        <v>3</v>
      </c>
      <c r="DH55" t="s">
        <v>3</v>
      </c>
      <c r="DI55" t="s">
        <v>3</v>
      </c>
      <c r="DJ55" t="s">
        <v>3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1007</v>
      </c>
      <c r="DV55" t="s">
        <v>58</v>
      </c>
      <c r="DW55" t="s">
        <v>58</v>
      </c>
      <c r="DX55">
        <v>1</v>
      </c>
      <c r="DZ55" t="s">
        <v>3</v>
      </c>
      <c r="EA55" t="s">
        <v>3</v>
      </c>
      <c r="EB55" t="s">
        <v>3</v>
      </c>
      <c r="EC55" t="s">
        <v>3</v>
      </c>
      <c r="EE55">
        <v>50003279</v>
      </c>
      <c r="EF55">
        <v>200</v>
      </c>
      <c r="EG55" t="s">
        <v>48</v>
      </c>
      <c r="EH55">
        <v>0</v>
      </c>
      <c r="EI55" t="s">
        <v>3</v>
      </c>
      <c r="EJ55">
        <v>1</v>
      </c>
      <c r="EK55">
        <v>1617</v>
      </c>
      <c r="EL55" t="s">
        <v>49</v>
      </c>
      <c r="EM55" t="s">
        <v>50</v>
      </c>
      <c r="EO55" t="s">
        <v>3</v>
      </c>
      <c r="EQ55">
        <v>0</v>
      </c>
      <c r="ER55">
        <v>451.14</v>
      </c>
      <c r="ES55">
        <v>451.14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FQ55">
        <v>0</v>
      </c>
      <c r="FR55">
        <f t="shared" si="51"/>
        <v>0</v>
      </c>
      <c r="FS55">
        <v>0</v>
      </c>
      <c r="FX55">
        <v>0</v>
      </c>
      <c r="FY55">
        <v>0</v>
      </c>
      <c r="GA55" t="s">
        <v>3</v>
      </c>
      <c r="GD55">
        <v>0</v>
      </c>
      <c r="GF55">
        <v>1443303829</v>
      </c>
      <c r="GG55">
        <v>2</v>
      </c>
      <c r="GH55">
        <v>1</v>
      </c>
      <c r="GI55">
        <v>2</v>
      </c>
      <c r="GJ55">
        <v>0</v>
      </c>
      <c r="GK55">
        <f>ROUND(R55*(R12)/100,2)</f>
        <v>0</v>
      </c>
      <c r="GL55">
        <f t="shared" si="52"/>
        <v>0</v>
      </c>
      <c r="GM55">
        <f t="shared" si="53"/>
        <v>541.34</v>
      </c>
      <c r="GN55">
        <f t="shared" si="54"/>
        <v>541.34</v>
      </c>
      <c r="GO55">
        <f t="shared" si="55"/>
        <v>0</v>
      </c>
      <c r="GP55">
        <f t="shared" si="56"/>
        <v>0</v>
      </c>
      <c r="GR55">
        <v>0</v>
      </c>
      <c r="GS55">
        <v>3</v>
      </c>
      <c r="GT55">
        <v>0</v>
      </c>
      <c r="GU55" t="s">
        <v>3</v>
      </c>
      <c r="GV55">
        <f t="shared" si="57"/>
        <v>0</v>
      </c>
      <c r="GW55">
        <v>1</v>
      </c>
      <c r="GX55">
        <f t="shared" si="58"/>
        <v>0</v>
      </c>
      <c r="HA55">
        <v>0</v>
      </c>
      <c r="HB55">
        <v>0</v>
      </c>
      <c r="HC55">
        <f t="shared" si="59"/>
        <v>0</v>
      </c>
      <c r="HE55" t="s">
        <v>3</v>
      </c>
      <c r="HF55" t="s">
        <v>3</v>
      </c>
      <c r="HM55" t="s">
        <v>3</v>
      </c>
      <c r="HN55" t="s">
        <v>3</v>
      </c>
      <c r="HO55" t="s">
        <v>3</v>
      </c>
      <c r="HP55" t="s">
        <v>3</v>
      </c>
      <c r="HQ55" t="s">
        <v>3</v>
      </c>
      <c r="IK55">
        <v>0</v>
      </c>
    </row>
    <row r="56" spans="1:245" x14ac:dyDescent="0.2">
      <c r="A56">
        <v>17</v>
      </c>
      <c r="B56">
        <v>1</v>
      </c>
      <c r="E56" t="s">
        <v>120</v>
      </c>
      <c r="F56" t="s">
        <v>121</v>
      </c>
      <c r="G56" t="s">
        <v>268</v>
      </c>
      <c r="H56" t="s">
        <v>122</v>
      </c>
      <c r="I56">
        <v>5</v>
      </c>
      <c r="J56">
        <v>0</v>
      </c>
      <c r="K56">
        <v>5</v>
      </c>
      <c r="O56">
        <f t="shared" si="28"/>
        <v>1544.66</v>
      </c>
      <c r="P56">
        <f t="shared" si="29"/>
        <v>1544.66</v>
      </c>
      <c r="Q56">
        <f>(ROUND((ROUND(((ET56)*AV56*I56),2)*BB56),2)+ROUND((ROUND(((AE56-(EU56))*AV56*I56),2)*BS56),2))</f>
        <v>0</v>
      </c>
      <c r="R56">
        <f t="shared" si="30"/>
        <v>0</v>
      </c>
      <c r="S56">
        <f t="shared" si="31"/>
        <v>0</v>
      </c>
      <c r="T56">
        <f t="shared" si="32"/>
        <v>0</v>
      </c>
      <c r="U56">
        <f t="shared" si="33"/>
        <v>0</v>
      </c>
      <c r="V56">
        <f t="shared" si="34"/>
        <v>0</v>
      </c>
      <c r="W56">
        <f t="shared" si="35"/>
        <v>0</v>
      </c>
      <c r="X56">
        <f t="shared" si="36"/>
        <v>0</v>
      </c>
      <c r="Y56">
        <f t="shared" si="37"/>
        <v>0</v>
      </c>
      <c r="AA56">
        <v>50732134</v>
      </c>
      <c r="AB56">
        <f t="shared" si="38"/>
        <v>31.3</v>
      </c>
      <c r="AC56">
        <f>ROUND((ES56),6)</f>
        <v>31.3</v>
      </c>
      <c r="AD56">
        <f>ROUND((((ET56)-(EU56))+AE56),6)</f>
        <v>0</v>
      </c>
      <c r="AE56">
        <f t="shared" si="62"/>
        <v>0</v>
      </c>
      <c r="AF56">
        <f t="shared" si="62"/>
        <v>0</v>
      </c>
      <c r="AG56">
        <f t="shared" si="39"/>
        <v>0</v>
      </c>
      <c r="AH56">
        <f t="shared" si="63"/>
        <v>0</v>
      </c>
      <c r="AI56">
        <f t="shared" si="63"/>
        <v>0</v>
      </c>
      <c r="AJ56">
        <f t="shared" si="40"/>
        <v>0</v>
      </c>
      <c r="AK56">
        <v>31.3</v>
      </c>
      <c r="AL56">
        <v>31.3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9.8699999999999992</v>
      </c>
      <c r="BD56" t="s">
        <v>3</v>
      </c>
      <c r="BE56" t="s">
        <v>3</v>
      </c>
      <c r="BF56" t="s">
        <v>3</v>
      </c>
      <c r="BG56" t="s">
        <v>3</v>
      </c>
      <c r="BH56">
        <v>3</v>
      </c>
      <c r="BI56">
        <v>1</v>
      </c>
      <c r="BJ56" t="s">
        <v>123</v>
      </c>
      <c r="BM56">
        <v>1617</v>
      </c>
      <c r="BN56">
        <v>0</v>
      </c>
      <c r="BO56" t="s">
        <v>121</v>
      </c>
      <c r="BP56">
        <v>1</v>
      </c>
      <c r="BQ56">
        <v>200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0</v>
      </c>
      <c r="CA56">
        <v>0</v>
      </c>
      <c r="CB56" t="s">
        <v>3</v>
      </c>
      <c r="CE56">
        <v>30</v>
      </c>
      <c r="CF56">
        <v>0</v>
      </c>
      <c r="CG56">
        <v>0</v>
      </c>
      <c r="CM56">
        <v>0</v>
      </c>
      <c r="CN56" t="s">
        <v>3</v>
      </c>
      <c r="CO56">
        <v>0</v>
      </c>
      <c r="CP56">
        <f t="shared" si="41"/>
        <v>1544.66</v>
      </c>
      <c r="CQ56">
        <f t="shared" si="42"/>
        <v>308.93</v>
      </c>
      <c r="CR56">
        <f>(ROUND((ROUND(((ET56)*AV56*1),2)*BB56),2)+ROUND((ROUND(((AE56-(EU56))*AV56*1),2)*BS56),2))</f>
        <v>0</v>
      </c>
      <c r="CS56">
        <f t="shared" si="43"/>
        <v>0</v>
      </c>
      <c r="CT56">
        <f t="shared" si="44"/>
        <v>0</v>
      </c>
      <c r="CU56">
        <f t="shared" si="45"/>
        <v>0</v>
      </c>
      <c r="CV56">
        <f t="shared" si="46"/>
        <v>0</v>
      </c>
      <c r="CW56">
        <f t="shared" si="47"/>
        <v>0</v>
      </c>
      <c r="CX56">
        <f t="shared" si="48"/>
        <v>0</v>
      </c>
      <c r="CY56">
        <f t="shared" si="49"/>
        <v>0</v>
      </c>
      <c r="CZ56">
        <f t="shared" si="50"/>
        <v>0</v>
      </c>
      <c r="DC56" t="s">
        <v>3</v>
      </c>
      <c r="DD56" t="s">
        <v>3</v>
      </c>
      <c r="DE56" t="s">
        <v>3</v>
      </c>
      <c r="DF56" t="s">
        <v>3</v>
      </c>
      <c r="DG56" t="s">
        <v>3</v>
      </c>
      <c r="DH56" t="s">
        <v>3</v>
      </c>
      <c r="DI56" t="s">
        <v>3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1005</v>
      </c>
      <c r="DV56" t="s">
        <v>122</v>
      </c>
      <c r="DW56" t="s">
        <v>122</v>
      </c>
      <c r="DX56">
        <v>1</v>
      </c>
      <c r="DZ56" t="s">
        <v>3</v>
      </c>
      <c r="EA56" t="s">
        <v>3</v>
      </c>
      <c r="EB56" t="s">
        <v>3</v>
      </c>
      <c r="EC56" t="s">
        <v>3</v>
      </c>
      <c r="EE56">
        <v>50003279</v>
      </c>
      <c r="EF56">
        <v>200</v>
      </c>
      <c r="EG56" t="s">
        <v>48</v>
      </c>
      <c r="EH56">
        <v>0</v>
      </c>
      <c r="EI56" t="s">
        <v>3</v>
      </c>
      <c r="EJ56">
        <v>1</v>
      </c>
      <c r="EK56">
        <v>1617</v>
      </c>
      <c r="EL56" t="s">
        <v>49</v>
      </c>
      <c r="EM56" t="s">
        <v>50</v>
      </c>
      <c r="EO56" t="s">
        <v>3</v>
      </c>
      <c r="EQ56">
        <v>0</v>
      </c>
      <c r="ER56">
        <v>31.3</v>
      </c>
      <c r="ES56">
        <v>31.3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FQ56">
        <v>0</v>
      </c>
      <c r="FR56">
        <f t="shared" si="51"/>
        <v>0</v>
      </c>
      <c r="FS56">
        <v>0</v>
      </c>
      <c r="FX56">
        <v>0</v>
      </c>
      <c r="FY56">
        <v>0</v>
      </c>
      <c r="GA56" t="s">
        <v>3</v>
      </c>
      <c r="GD56">
        <v>0</v>
      </c>
      <c r="GF56">
        <v>135112036</v>
      </c>
      <c r="GG56">
        <v>2</v>
      </c>
      <c r="GH56">
        <v>1</v>
      </c>
      <c r="GI56">
        <v>2</v>
      </c>
      <c r="GJ56">
        <v>0</v>
      </c>
      <c r="GK56">
        <f>ROUND(R56*(R12)/100,2)</f>
        <v>0</v>
      </c>
      <c r="GL56">
        <f t="shared" si="52"/>
        <v>0</v>
      </c>
      <c r="GM56">
        <f t="shared" si="53"/>
        <v>1544.66</v>
      </c>
      <c r="GN56">
        <f t="shared" si="54"/>
        <v>1544.66</v>
      </c>
      <c r="GO56">
        <f t="shared" si="55"/>
        <v>0</v>
      </c>
      <c r="GP56">
        <f t="shared" si="56"/>
        <v>0</v>
      </c>
      <c r="GR56">
        <v>0</v>
      </c>
      <c r="GS56">
        <v>3</v>
      </c>
      <c r="GT56">
        <v>0</v>
      </c>
      <c r="GU56" t="s">
        <v>3</v>
      </c>
      <c r="GV56">
        <f t="shared" si="57"/>
        <v>0</v>
      </c>
      <c r="GW56">
        <v>1</v>
      </c>
      <c r="GX56">
        <f t="shared" si="58"/>
        <v>0</v>
      </c>
      <c r="HA56">
        <v>0</v>
      </c>
      <c r="HB56">
        <v>0</v>
      </c>
      <c r="HC56">
        <f t="shared" si="59"/>
        <v>0</v>
      </c>
      <c r="HE56" t="s">
        <v>3</v>
      </c>
      <c r="HF56" t="s">
        <v>3</v>
      </c>
      <c r="HM56" t="s">
        <v>3</v>
      </c>
      <c r="HN56" t="s">
        <v>3</v>
      </c>
      <c r="HO56" t="s">
        <v>3</v>
      </c>
      <c r="HP56" t="s">
        <v>3</v>
      </c>
      <c r="HQ56" t="s">
        <v>3</v>
      </c>
      <c r="IK56">
        <v>0</v>
      </c>
    </row>
    <row r="57" spans="1:245" x14ac:dyDescent="0.2">
      <c r="A57">
        <v>17</v>
      </c>
      <c r="B57">
        <v>1</v>
      </c>
      <c r="E57" t="s">
        <v>124</v>
      </c>
      <c r="F57" t="s">
        <v>125</v>
      </c>
      <c r="G57" t="s">
        <v>269</v>
      </c>
      <c r="H57" t="s">
        <v>93</v>
      </c>
      <c r="I57">
        <v>0.01</v>
      </c>
      <c r="J57">
        <v>0</v>
      </c>
      <c r="K57">
        <v>0.01</v>
      </c>
      <c r="O57">
        <f t="shared" si="28"/>
        <v>338.35</v>
      </c>
      <c r="P57">
        <f t="shared" si="29"/>
        <v>338.35</v>
      </c>
      <c r="Q57">
        <f>(ROUND((ROUND(((ET57)*AV57*I57),2)*BB57),2)+ROUND((ROUND(((AE57-(EU57))*AV57*I57),2)*BS57),2))</f>
        <v>0</v>
      </c>
      <c r="R57">
        <f t="shared" si="30"/>
        <v>0</v>
      </c>
      <c r="S57">
        <f t="shared" si="31"/>
        <v>0</v>
      </c>
      <c r="T57">
        <f t="shared" si="32"/>
        <v>0</v>
      </c>
      <c r="U57">
        <f t="shared" si="33"/>
        <v>0</v>
      </c>
      <c r="V57">
        <f t="shared" si="34"/>
        <v>0</v>
      </c>
      <c r="W57">
        <f t="shared" si="35"/>
        <v>0</v>
      </c>
      <c r="X57">
        <f t="shared" si="36"/>
        <v>0</v>
      </c>
      <c r="Y57">
        <f t="shared" si="37"/>
        <v>0</v>
      </c>
      <c r="AA57">
        <v>50732134</v>
      </c>
      <c r="AB57">
        <f t="shared" si="38"/>
        <v>11626.84</v>
      </c>
      <c r="AC57">
        <f>ROUND((ES57),6)</f>
        <v>11626.84</v>
      </c>
      <c r="AD57">
        <f>ROUND((((ET57)-(EU57))+AE57),6)</f>
        <v>0</v>
      </c>
      <c r="AE57">
        <f t="shared" si="62"/>
        <v>0</v>
      </c>
      <c r="AF57">
        <f t="shared" si="62"/>
        <v>0</v>
      </c>
      <c r="AG57">
        <f t="shared" si="39"/>
        <v>0</v>
      </c>
      <c r="AH57">
        <f t="shared" si="63"/>
        <v>0</v>
      </c>
      <c r="AI57">
        <f t="shared" si="63"/>
        <v>0</v>
      </c>
      <c r="AJ57">
        <f t="shared" si="40"/>
        <v>0</v>
      </c>
      <c r="AK57">
        <v>11626.84</v>
      </c>
      <c r="AL57">
        <v>11626.84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2.91</v>
      </c>
      <c r="BD57" t="s">
        <v>3</v>
      </c>
      <c r="BE57" t="s">
        <v>3</v>
      </c>
      <c r="BF57" t="s">
        <v>3</v>
      </c>
      <c r="BG57" t="s">
        <v>3</v>
      </c>
      <c r="BH57">
        <v>3</v>
      </c>
      <c r="BI57">
        <v>1</v>
      </c>
      <c r="BJ57" t="s">
        <v>126</v>
      </c>
      <c r="BM57">
        <v>1617</v>
      </c>
      <c r="BN57">
        <v>0</v>
      </c>
      <c r="BO57" t="s">
        <v>125</v>
      </c>
      <c r="BP57">
        <v>1</v>
      </c>
      <c r="BQ57">
        <v>200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0</v>
      </c>
      <c r="CA57">
        <v>0</v>
      </c>
      <c r="CB57" t="s">
        <v>3</v>
      </c>
      <c r="CE57">
        <v>30</v>
      </c>
      <c r="CF57">
        <v>0</v>
      </c>
      <c r="CG57">
        <v>0</v>
      </c>
      <c r="CM57">
        <v>0</v>
      </c>
      <c r="CN57" t="s">
        <v>3</v>
      </c>
      <c r="CO57">
        <v>0</v>
      </c>
      <c r="CP57">
        <f t="shared" si="41"/>
        <v>338.35</v>
      </c>
      <c r="CQ57">
        <f t="shared" si="42"/>
        <v>33834.1</v>
      </c>
      <c r="CR57">
        <f>(ROUND((ROUND(((ET57)*AV57*1),2)*BB57),2)+ROUND((ROUND(((AE57-(EU57))*AV57*1),2)*BS57),2))</f>
        <v>0</v>
      </c>
      <c r="CS57">
        <f t="shared" si="43"/>
        <v>0</v>
      </c>
      <c r="CT57">
        <f t="shared" si="44"/>
        <v>0</v>
      </c>
      <c r="CU57">
        <f t="shared" si="45"/>
        <v>0</v>
      </c>
      <c r="CV57">
        <f t="shared" si="46"/>
        <v>0</v>
      </c>
      <c r="CW57">
        <f t="shared" si="47"/>
        <v>0</v>
      </c>
      <c r="CX57">
        <f t="shared" si="48"/>
        <v>0</v>
      </c>
      <c r="CY57">
        <f t="shared" si="49"/>
        <v>0</v>
      </c>
      <c r="CZ57">
        <f t="shared" si="50"/>
        <v>0</v>
      </c>
      <c r="DC57" t="s">
        <v>3</v>
      </c>
      <c r="DD57" t="s">
        <v>3</v>
      </c>
      <c r="DE57" t="s">
        <v>3</v>
      </c>
      <c r="DF57" t="s">
        <v>3</v>
      </c>
      <c r="DG57" t="s">
        <v>3</v>
      </c>
      <c r="DH57" t="s">
        <v>3</v>
      </c>
      <c r="DI57" t="s">
        <v>3</v>
      </c>
      <c r="DJ57" t="s">
        <v>3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1009</v>
      </c>
      <c r="DV57" t="s">
        <v>93</v>
      </c>
      <c r="DW57" t="s">
        <v>93</v>
      </c>
      <c r="DX57">
        <v>1000</v>
      </c>
      <c r="DZ57" t="s">
        <v>3</v>
      </c>
      <c r="EA57" t="s">
        <v>3</v>
      </c>
      <c r="EB57" t="s">
        <v>3</v>
      </c>
      <c r="EC57" t="s">
        <v>3</v>
      </c>
      <c r="EE57">
        <v>50003279</v>
      </c>
      <c r="EF57">
        <v>200</v>
      </c>
      <c r="EG57" t="s">
        <v>48</v>
      </c>
      <c r="EH57">
        <v>0</v>
      </c>
      <c r="EI57" t="s">
        <v>3</v>
      </c>
      <c r="EJ57">
        <v>1</v>
      </c>
      <c r="EK57">
        <v>1617</v>
      </c>
      <c r="EL57" t="s">
        <v>49</v>
      </c>
      <c r="EM57" t="s">
        <v>50</v>
      </c>
      <c r="EO57" t="s">
        <v>3</v>
      </c>
      <c r="EQ57">
        <v>0</v>
      </c>
      <c r="ER57">
        <v>11626.84</v>
      </c>
      <c r="ES57">
        <v>11626.84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FQ57">
        <v>0</v>
      </c>
      <c r="FR57">
        <f t="shared" si="51"/>
        <v>0</v>
      </c>
      <c r="FS57">
        <v>0</v>
      </c>
      <c r="FX57">
        <v>0</v>
      </c>
      <c r="FY57">
        <v>0</v>
      </c>
      <c r="GA57" t="s">
        <v>3</v>
      </c>
      <c r="GD57">
        <v>0</v>
      </c>
      <c r="GF57">
        <v>-2111180550</v>
      </c>
      <c r="GG57">
        <v>2</v>
      </c>
      <c r="GH57">
        <v>1</v>
      </c>
      <c r="GI57">
        <v>2</v>
      </c>
      <c r="GJ57">
        <v>0</v>
      </c>
      <c r="GK57">
        <f>ROUND(R57*(R12)/100,2)</f>
        <v>0</v>
      </c>
      <c r="GL57">
        <f t="shared" si="52"/>
        <v>0</v>
      </c>
      <c r="GM57">
        <f t="shared" si="53"/>
        <v>338.35</v>
      </c>
      <c r="GN57">
        <f t="shared" si="54"/>
        <v>338.35</v>
      </c>
      <c r="GO57">
        <f t="shared" si="55"/>
        <v>0</v>
      </c>
      <c r="GP57">
        <f t="shared" si="56"/>
        <v>0</v>
      </c>
      <c r="GR57">
        <v>0</v>
      </c>
      <c r="GS57">
        <v>3</v>
      </c>
      <c r="GT57">
        <v>0</v>
      </c>
      <c r="GU57" t="s">
        <v>3</v>
      </c>
      <c r="GV57">
        <f t="shared" si="57"/>
        <v>0</v>
      </c>
      <c r="GW57">
        <v>1</v>
      </c>
      <c r="GX57">
        <f t="shared" si="58"/>
        <v>0</v>
      </c>
      <c r="HA57">
        <v>0</v>
      </c>
      <c r="HB57">
        <v>0</v>
      </c>
      <c r="HC57">
        <f t="shared" si="59"/>
        <v>0</v>
      </c>
      <c r="HE57" t="s">
        <v>3</v>
      </c>
      <c r="HF57" t="s">
        <v>3</v>
      </c>
      <c r="HM57" t="s">
        <v>3</v>
      </c>
      <c r="HN57" t="s">
        <v>3</v>
      </c>
      <c r="HO57" t="s">
        <v>3</v>
      </c>
      <c r="HP57" t="s">
        <v>3</v>
      </c>
      <c r="HQ57" t="s">
        <v>3</v>
      </c>
      <c r="IK57">
        <v>0</v>
      </c>
    </row>
    <row r="58" spans="1:245" x14ac:dyDescent="0.2">
      <c r="A58">
        <v>17</v>
      </c>
      <c r="B58">
        <v>1</v>
      </c>
      <c r="E58" t="s">
        <v>127</v>
      </c>
      <c r="F58" t="s">
        <v>128</v>
      </c>
      <c r="G58" t="s">
        <v>129</v>
      </c>
      <c r="H58" t="s">
        <v>24</v>
      </c>
      <c r="I58">
        <f>ROUND(12/100,9)</f>
        <v>0.12</v>
      </c>
      <c r="J58">
        <v>0</v>
      </c>
      <c r="K58">
        <f>ROUND(12/100,9)</f>
        <v>0.12</v>
      </c>
      <c r="O58">
        <f t="shared" si="28"/>
        <v>499.87</v>
      </c>
      <c r="P58">
        <f t="shared" si="29"/>
        <v>0</v>
      </c>
      <c r="Q58">
        <f>(ROUND((ROUND(((((ET58*1.2)*1.1))*AV58*I58),2)*BB58),2)+ROUND((ROUND(((AE58-(((EU58*1.2)*1.1)))*AV58*I58),2)*BS58),2))</f>
        <v>9.4499999999999993</v>
      </c>
      <c r="R58">
        <f t="shared" si="30"/>
        <v>0</v>
      </c>
      <c r="S58">
        <f t="shared" si="31"/>
        <v>490.42</v>
      </c>
      <c r="T58">
        <f t="shared" si="32"/>
        <v>0</v>
      </c>
      <c r="U58">
        <f t="shared" si="33"/>
        <v>1.4395328639999998</v>
      </c>
      <c r="V58">
        <f t="shared" si="34"/>
        <v>0</v>
      </c>
      <c r="W58">
        <f t="shared" si="35"/>
        <v>0</v>
      </c>
      <c r="X58">
        <f t="shared" si="36"/>
        <v>367.82</v>
      </c>
      <c r="Y58">
        <f t="shared" si="37"/>
        <v>201.07</v>
      </c>
      <c r="AA58">
        <v>50732134</v>
      </c>
      <c r="AB58">
        <f t="shared" si="38"/>
        <v>136.91040000000001</v>
      </c>
      <c r="AC58">
        <f>ROUND((((ES58*1)*1)),6)</f>
        <v>0</v>
      </c>
      <c r="AD58">
        <f>ROUND((((((ET58*1.2)*1.1))-(((EU58*1.2)*1.1)))+AE58),6)</f>
        <v>8.8176000000000005</v>
      </c>
      <c r="AE58">
        <f>ROUND((((EU58*1.2)*1.1)),6)</f>
        <v>0</v>
      </c>
      <c r="AF58">
        <f>ROUND((((EV58*1.2)*1.1)),6)</f>
        <v>128.09280000000001</v>
      </c>
      <c r="AG58">
        <f t="shared" si="39"/>
        <v>0</v>
      </c>
      <c r="AH58">
        <f>(((EW58*1.2)*1.1))</f>
        <v>11.457599999999999</v>
      </c>
      <c r="AI58">
        <f>(((EX58*1.2)*1.1))</f>
        <v>0</v>
      </c>
      <c r="AJ58">
        <f t="shared" si="40"/>
        <v>0</v>
      </c>
      <c r="AK58">
        <v>103.72</v>
      </c>
      <c r="AL58">
        <v>0</v>
      </c>
      <c r="AM58">
        <v>6.68</v>
      </c>
      <c r="AN58">
        <v>0</v>
      </c>
      <c r="AO58">
        <v>97.04</v>
      </c>
      <c r="AP58">
        <v>0</v>
      </c>
      <c r="AQ58">
        <v>8.68</v>
      </c>
      <c r="AR58">
        <v>0</v>
      </c>
      <c r="AS58">
        <v>0</v>
      </c>
      <c r="AT58">
        <v>75</v>
      </c>
      <c r="AU58">
        <v>41</v>
      </c>
      <c r="AV58">
        <v>1.0469999999999999</v>
      </c>
      <c r="AW58">
        <v>1.002</v>
      </c>
      <c r="AZ58">
        <v>1</v>
      </c>
      <c r="BA58">
        <v>30.48</v>
      </c>
      <c r="BB58">
        <v>8.51</v>
      </c>
      <c r="BC58">
        <v>1</v>
      </c>
      <c r="BD58" t="s">
        <v>3</v>
      </c>
      <c r="BE58" t="s">
        <v>3</v>
      </c>
      <c r="BF58" t="s">
        <v>3</v>
      </c>
      <c r="BG58" t="s">
        <v>3</v>
      </c>
      <c r="BH58">
        <v>0</v>
      </c>
      <c r="BI58">
        <v>1</v>
      </c>
      <c r="BJ58" t="s">
        <v>130</v>
      </c>
      <c r="BM58">
        <v>682</v>
      </c>
      <c r="BN58">
        <v>0</v>
      </c>
      <c r="BO58" t="s">
        <v>128</v>
      </c>
      <c r="BP58">
        <v>1</v>
      </c>
      <c r="BQ58">
        <v>60</v>
      </c>
      <c r="BR58">
        <v>0</v>
      </c>
      <c r="BS58">
        <v>30.48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75</v>
      </c>
      <c r="CA58">
        <v>41</v>
      </c>
      <c r="CB58" t="s">
        <v>3</v>
      </c>
      <c r="CE58">
        <v>30</v>
      </c>
      <c r="CF58">
        <v>0</v>
      </c>
      <c r="CG58">
        <v>0</v>
      </c>
      <c r="CM58">
        <v>0</v>
      </c>
      <c r="CN58" t="s">
        <v>265</v>
      </c>
      <c r="CO58">
        <v>0</v>
      </c>
      <c r="CP58">
        <f t="shared" si="41"/>
        <v>499.87</v>
      </c>
      <c r="CQ58">
        <f t="shared" si="42"/>
        <v>0</v>
      </c>
      <c r="CR58">
        <f>(ROUND((ROUND(((((ET58*1.2)*1.1))*AV58*1),2)*BB58),2)+ROUND((ROUND(((AE58-(((EU58*1.2)*1.1)))*AV58*1),2)*BS58),2))</f>
        <v>78.55</v>
      </c>
      <c r="CS58">
        <f t="shared" si="43"/>
        <v>0</v>
      </c>
      <c r="CT58">
        <f t="shared" si="44"/>
        <v>4087.67</v>
      </c>
      <c r="CU58">
        <f t="shared" si="45"/>
        <v>0</v>
      </c>
      <c r="CV58">
        <f t="shared" si="46"/>
        <v>11.996107199999999</v>
      </c>
      <c r="CW58">
        <f t="shared" si="47"/>
        <v>0</v>
      </c>
      <c r="CX58">
        <f t="shared" si="48"/>
        <v>0</v>
      </c>
      <c r="CY58">
        <f t="shared" si="49"/>
        <v>367.815</v>
      </c>
      <c r="CZ58">
        <f t="shared" si="50"/>
        <v>201.07219999999998</v>
      </c>
      <c r="DC58" t="s">
        <v>3</v>
      </c>
      <c r="DD58" t="s">
        <v>26</v>
      </c>
      <c r="DE58" t="s">
        <v>27</v>
      </c>
      <c r="DF58" t="s">
        <v>27</v>
      </c>
      <c r="DG58" t="s">
        <v>27</v>
      </c>
      <c r="DH58" t="s">
        <v>3</v>
      </c>
      <c r="DI58" t="s">
        <v>27</v>
      </c>
      <c r="DJ58" t="s">
        <v>27</v>
      </c>
      <c r="DK58" t="s">
        <v>3</v>
      </c>
      <c r="DL58" t="s">
        <v>3</v>
      </c>
      <c r="DM58" t="s">
        <v>3</v>
      </c>
      <c r="DN58">
        <v>91</v>
      </c>
      <c r="DO58">
        <v>70</v>
      </c>
      <c r="DP58">
        <v>1.0469999999999999</v>
      </c>
      <c r="DQ58">
        <v>1.002</v>
      </c>
      <c r="DU58">
        <v>1013</v>
      </c>
      <c r="DV58" t="s">
        <v>24</v>
      </c>
      <c r="DW58" t="s">
        <v>24</v>
      </c>
      <c r="DX58">
        <v>1</v>
      </c>
      <c r="DZ58" t="s">
        <v>3</v>
      </c>
      <c r="EA58" t="s">
        <v>3</v>
      </c>
      <c r="EB58" t="s">
        <v>3</v>
      </c>
      <c r="EC58" t="s">
        <v>3</v>
      </c>
      <c r="EE58">
        <v>50002344</v>
      </c>
      <c r="EF58">
        <v>60</v>
      </c>
      <c r="EG58" t="s">
        <v>28</v>
      </c>
      <c r="EH58">
        <v>0</v>
      </c>
      <c r="EI58" t="s">
        <v>3</v>
      </c>
      <c r="EJ58">
        <v>1</v>
      </c>
      <c r="EK58">
        <v>682</v>
      </c>
      <c r="EL58" t="s">
        <v>29</v>
      </c>
      <c r="EM58" t="s">
        <v>30</v>
      </c>
      <c r="EO58" t="s">
        <v>31</v>
      </c>
      <c r="EQ58">
        <v>0</v>
      </c>
      <c r="ER58">
        <v>103.72</v>
      </c>
      <c r="ES58">
        <v>0</v>
      </c>
      <c r="ET58">
        <v>6.68</v>
      </c>
      <c r="EU58">
        <v>0</v>
      </c>
      <c r="EV58">
        <v>97.04</v>
      </c>
      <c r="EW58">
        <v>8.68</v>
      </c>
      <c r="EX58">
        <v>0</v>
      </c>
      <c r="EY58">
        <v>0</v>
      </c>
      <c r="FQ58">
        <v>0</v>
      </c>
      <c r="FR58">
        <f t="shared" si="51"/>
        <v>0</v>
      </c>
      <c r="FS58">
        <v>0</v>
      </c>
      <c r="FX58">
        <v>91</v>
      </c>
      <c r="FY58">
        <v>70</v>
      </c>
      <c r="GA58" t="s">
        <v>3</v>
      </c>
      <c r="GD58">
        <v>0</v>
      </c>
      <c r="GF58">
        <v>194393992</v>
      </c>
      <c r="GG58">
        <v>2</v>
      </c>
      <c r="GH58">
        <v>1</v>
      </c>
      <c r="GI58">
        <v>2</v>
      </c>
      <c r="GJ58">
        <v>0</v>
      </c>
      <c r="GK58">
        <f>ROUND(R58*(R12)/100,2)</f>
        <v>0</v>
      </c>
      <c r="GL58">
        <f t="shared" si="52"/>
        <v>0</v>
      </c>
      <c r="GM58">
        <f t="shared" si="53"/>
        <v>1068.76</v>
      </c>
      <c r="GN58">
        <f t="shared" si="54"/>
        <v>1068.76</v>
      </c>
      <c r="GO58">
        <f t="shared" si="55"/>
        <v>0</v>
      </c>
      <c r="GP58">
        <f t="shared" si="56"/>
        <v>0</v>
      </c>
      <c r="GR58">
        <v>0</v>
      </c>
      <c r="GS58">
        <v>3</v>
      </c>
      <c r="GT58">
        <v>0</v>
      </c>
      <c r="GU58" t="s">
        <v>3</v>
      </c>
      <c r="GV58">
        <f t="shared" si="57"/>
        <v>0</v>
      </c>
      <c r="GW58">
        <v>1</v>
      </c>
      <c r="GX58">
        <f t="shared" si="58"/>
        <v>0</v>
      </c>
      <c r="HA58">
        <v>0</v>
      </c>
      <c r="HB58">
        <v>0</v>
      </c>
      <c r="HC58">
        <f t="shared" si="59"/>
        <v>0</v>
      </c>
      <c r="HE58" t="s">
        <v>3</v>
      </c>
      <c r="HF58" t="s">
        <v>3</v>
      </c>
      <c r="HM58" t="s">
        <v>3</v>
      </c>
      <c r="HN58" t="s">
        <v>3</v>
      </c>
      <c r="HO58" t="s">
        <v>3</v>
      </c>
      <c r="HP58" t="s">
        <v>3</v>
      </c>
      <c r="HQ58" t="s">
        <v>3</v>
      </c>
      <c r="IK58">
        <v>0</v>
      </c>
    </row>
    <row r="59" spans="1:245" x14ac:dyDescent="0.2">
      <c r="A59">
        <v>18</v>
      </c>
      <c r="B59">
        <v>1</v>
      </c>
      <c r="E59" t="s">
        <v>131</v>
      </c>
      <c r="F59" t="s">
        <v>132</v>
      </c>
      <c r="G59" t="s">
        <v>133</v>
      </c>
      <c r="H59" t="s">
        <v>73</v>
      </c>
      <c r="I59">
        <f>I58*J59</f>
        <v>1.2</v>
      </c>
      <c r="J59">
        <v>10</v>
      </c>
      <c r="K59">
        <v>10</v>
      </c>
      <c r="O59">
        <f t="shared" si="28"/>
        <v>809.49</v>
      </c>
      <c r="P59">
        <f t="shared" si="29"/>
        <v>809.49</v>
      </c>
      <c r="Q59">
        <f>(ROUND((ROUND(((ET59)*AV59*I59),2)*BB59),2)+ROUND((ROUND(((AE59-(EU59))*AV59*I59),2)*BS59),2))</f>
        <v>0</v>
      </c>
      <c r="R59">
        <f t="shared" si="30"/>
        <v>0</v>
      </c>
      <c r="S59">
        <f t="shared" si="31"/>
        <v>0</v>
      </c>
      <c r="T59">
        <f t="shared" si="32"/>
        <v>0</v>
      </c>
      <c r="U59">
        <f t="shared" si="33"/>
        <v>0</v>
      </c>
      <c r="V59">
        <f t="shared" si="34"/>
        <v>0</v>
      </c>
      <c r="W59">
        <f t="shared" si="35"/>
        <v>0</v>
      </c>
      <c r="X59">
        <f t="shared" si="36"/>
        <v>0</v>
      </c>
      <c r="Y59">
        <f t="shared" si="37"/>
        <v>0</v>
      </c>
      <c r="AA59">
        <v>50732134</v>
      </c>
      <c r="AB59">
        <f t="shared" si="38"/>
        <v>378.22</v>
      </c>
      <c r="AC59">
        <f>ROUND((ES59),6)</f>
        <v>378.22</v>
      </c>
      <c r="AD59">
        <f>ROUND((((ET59)-(EU59))+AE59),6)</f>
        <v>0</v>
      </c>
      <c r="AE59">
        <f>ROUND((EU59),6)</f>
        <v>0</v>
      </c>
      <c r="AF59">
        <f>ROUND((EV59),6)</f>
        <v>0</v>
      </c>
      <c r="AG59">
        <f t="shared" si="39"/>
        <v>0</v>
      </c>
      <c r="AH59">
        <f>(EW59)</f>
        <v>0</v>
      </c>
      <c r="AI59">
        <f>(EX59)</f>
        <v>0</v>
      </c>
      <c r="AJ59">
        <f t="shared" si="40"/>
        <v>0</v>
      </c>
      <c r="AK59">
        <v>378.22</v>
      </c>
      <c r="AL59">
        <v>378.22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1</v>
      </c>
      <c r="AW59">
        <v>1.002</v>
      </c>
      <c r="AZ59">
        <v>1</v>
      </c>
      <c r="BA59">
        <v>1</v>
      </c>
      <c r="BB59">
        <v>1</v>
      </c>
      <c r="BC59">
        <v>1.78</v>
      </c>
      <c r="BD59" t="s">
        <v>3</v>
      </c>
      <c r="BE59" t="s">
        <v>3</v>
      </c>
      <c r="BF59" t="s">
        <v>3</v>
      </c>
      <c r="BG59" t="s">
        <v>3</v>
      </c>
      <c r="BH59">
        <v>3</v>
      </c>
      <c r="BI59">
        <v>1</v>
      </c>
      <c r="BJ59" t="s">
        <v>134</v>
      </c>
      <c r="BM59">
        <v>682</v>
      </c>
      <c r="BN59">
        <v>0</v>
      </c>
      <c r="BO59" t="s">
        <v>132</v>
      </c>
      <c r="BP59">
        <v>1</v>
      </c>
      <c r="BQ59">
        <v>60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0</v>
      </c>
      <c r="CA59">
        <v>0</v>
      </c>
      <c r="CB59" t="s">
        <v>3</v>
      </c>
      <c r="CE59">
        <v>30</v>
      </c>
      <c r="CF59">
        <v>0</v>
      </c>
      <c r="CG59">
        <v>0</v>
      </c>
      <c r="CM59">
        <v>0</v>
      </c>
      <c r="CN59" t="s">
        <v>265</v>
      </c>
      <c r="CO59">
        <v>0</v>
      </c>
      <c r="CP59">
        <f t="shared" si="41"/>
        <v>809.49</v>
      </c>
      <c r="CQ59">
        <f t="shared" si="42"/>
        <v>674.58</v>
      </c>
      <c r="CR59">
        <f>(ROUND((ROUND(((ET59)*AV59*1),2)*BB59),2)+ROUND((ROUND(((AE59-(EU59))*AV59*1),2)*BS59),2))</f>
        <v>0</v>
      </c>
      <c r="CS59">
        <f t="shared" si="43"/>
        <v>0</v>
      </c>
      <c r="CT59">
        <f t="shared" si="44"/>
        <v>0</v>
      </c>
      <c r="CU59">
        <f t="shared" si="45"/>
        <v>0</v>
      </c>
      <c r="CV59">
        <f t="shared" si="46"/>
        <v>0</v>
      </c>
      <c r="CW59">
        <f t="shared" si="47"/>
        <v>0</v>
      </c>
      <c r="CX59">
        <f t="shared" si="48"/>
        <v>0</v>
      </c>
      <c r="CY59">
        <f t="shared" si="49"/>
        <v>0</v>
      </c>
      <c r="CZ59">
        <f t="shared" si="50"/>
        <v>0</v>
      </c>
      <c r="DC59" t="s">
        <v>3</v>
      </c>
      <c r="DD59" t="s">
        <v>3</v>
      </c>
      <c r="DE59" t="s">
        <v>3</v>
      </c>
      <c r="DF59" t="s">
        <v>3</v>
      </c>
      <c r="DG59" t="s">
        <v>3</v>
      </c>
      <c r="DH59" t="s">
        <v>3</v>
      </c>
      <c r="DI59" t="s">
        <v>3</v>
      </c>
      <c r="DJ59" t="s">
        <v>3</v>
      </c>
      <c r="DK59" t="s">
        <v>3</v>
      </c>
      <c r="DL59" t="s">
        <v>3</v>
      </c>
      <c r="DM59" t="s">
        <v>3</v>
      </c>
      <c r="DN59">
        <v>91</v>
      </c>
      <c r="DO59">
        <v>70</v>
      </c>
      <c r="DP59">
        <v>1.0469999999999999</v>
      </c>
      <c r="DQ59">
        <v>1.002</v>
      </c>
      <c r="DU59">
        <v>1010</v>
      </c>
      <c r="DV59" t="s">
        <v>73</v>
      </c>
      <c r="DW59" t="s">
        <v>73</v>
      </c>
      <c r="DX59">
        <v>1</v>
      </c>
      <c r="DZ59" t="s">
        <v>3</v>
      </c>
      <c r="EA59" t="s">
        <v>3</v>
      </c>
      <c r="EB59" t="s">
        <v>3</v>
      </c>
      <c r="EC59" t="s">
        <v>3</v>
      </c>
      <c r="EE59">
        <v>50002344</v>
      </c>
      <c r="EF59">
        <v>60</v>
      </c>
      <c r="EG59" t="s">
        <v>28</v>
      </c>
      <c r="EH59">
        <v>0</v>
      </c>
      <c r="EI59" t="s">
        <v>3</v>
      </c>
      <c r="EJ59">
        <v>1</v>
      </c>
      <c r="EK59">
        <v>682</v>
      </c>
      <c r="EL59" t="s">
        <v>29</v>
      </c>
      <c r="EM59" t="s">
        <v>30</v>
      </c>
      <c r="EO59" t="s">
        <v>31</v>
      </c>
      <c r="EQ59">
        <v>0</v>
      </c>
      <c r="ER59">
        <v>378.22</v>
      </c>
      <c r="ES59">
        <v>378.22</v>
      </c>
      <c r="ET59">
        <v>0</v>
      </c>
      <c r="EU59">
        <v>0</v>
      </c>
      <c r="EV59">
        <v>0</v>
      </c>
      <c r="EW59">
        <v>0</v>
      </c>
      <c r="EX59">
        <v>0</v>
      </c>
      <c r="FQ59">
        <v>0</v>
      </c>
      <c r="FR59">
        <f t="shared" si="51"/>
        <v>0</v>
      </c>
      <c r="FS59">
        <v>0</v>
      </c>
      <c r="FX59">
        <v>91</v>
      </c>
      <c r="FY59">
        <v>70</v>
      </c>
      <c r="GA59" t="s">
        <v>3</v>
      </c>
      <c r="GD59">
        <v>0</v>
      </c>
      <c r="GF59">
        <v>-1215804856</v>
      </c>
      <c r="GG59">
        <v>2</v>
      </c>
      <c r="GH59">
        <v>1</v>
      </c>
      <c r="GI59">
        <v>2</v>
      </c>
      <c r="GJ59">
        <v>0</v>
      </c>
      <c r="GK59">
        <f>ROUND(R59*(R12)/100,2)</f>
        <v>0</v>
      </c>
      <c r="GL59">
        <f t="shared" si="52"/>
        <v>0</v>
      </c>
      <c r="GM59">
        <f t="shared" si="53"/>
        <v>809.49</v>
      </c>
      <c r="GN59">
        <f t="shared" si="54"/>
        <v>809.49</v>
      </c>
      <c r="GO59">
        <f t="shared" si="55"/>
        <v>0</v>
      </c>
      <c r="GP59">
        <f t="shared" si="56"/>
        <v>0</v>
      </c>
      <c r="GR59">
        <v>0</v>
      </c>
      <c r="GS59">
        <v>3</v>
      </c>
      <c r="GT59">
        <v>0</v>
      </c>
      <c r="GU59" t="s">
        <v>3</v>
      </c>
      <c r="GV59">
        <f t="shared" si="57"/>
        <v>0</v>
      </c>
      <c r="GW59">
        <v>1</v>
      </c>
      <c r="GX59">
        <f t="shared" si="58"/>
        <v>0</v>
      </c>
      <c r="HA59">
        <v>0</v>
      </c>
      <c r="HB59">
        <v>0</v>
      </c>
      <c r="HC59">
        <f t="shared" si="59"/>
        <v>0</v>
      </c>
      <c r="HE59" t="s">
        <v>3</v>
      </c>
      <c r="HF59" t="s">
        <v>3</v>
      </c>
      <c r="HM59" t="s">
        <v>3</v>
      </c>
      <c r="HN59" t="s">
        <v>3</v>
      </c>
      <c r="HO59" t="s">
        <v>3</v>
      </c>
      <c r="HP59" t="s">
        <v>3</v>
      </c>
      <c r="HQ59" t="s">
        <v>3</v>
      </c>
      <c r="IK59">
        <v>0</v>
      </c>
    </row>
    <row r="60" spans="1:245" x14ac:dyDescent="0.2">
      <c r="A60">
        <v>17</v>
      </c>
      <c r="B60">
        <v>1</v>
      </c>
      <c r="E60" t="s">
        <v>135</v>
      </c>
      <c r="F60" t="s">
        <v>136</v>
      </c>
      <c r="G60" t="s">
        <v>137</v>
      </c>
      <c r="H60" t="s">
        <v>138</v>
      </c>
      <c r="I60">
        <f>ROUND(12/100,9)</f>
        <v>0.12</v>
      </c>
      <c r="J60">
        <v>0</v>
      </c>
      <c r="K60">
        <f>ROUND(12/100,9)</f>
        <v>0.12</v>
      </c>
      <c r="O60">
        <f t="shared" si="28"/>
        <v>1022.98</v>
      </c>
      <c r="P60">
        <f t="shared" si="29"/>
        <v>0</v>
      </c>
      <c r="Q60">
        <f>(ROUND((ROUND(((((ET60*1.2)*1.1))*AV60*I60),2)*BB60),2)+ROUND((ROUND(((AE60-(((EU60*1.2)*1.1)))*AV60*I60),2)*BS60),2))</f>
        <v>0.68</v>
      </c>
      <c r="R60">
        <f t="shared" si="30"/>
        <v>0.3</v>
      </c>
      <c r="S60">
        <f t="shared" si="31"/>
        <v>1022.3</v>
      </c>
      <c r="T60">
        <f t="shared" si="32"/>
        <v>0</v>
      </c>
      <c r="U60">
        <f t="shared" si="33"/>
        <v>2.3072227199999995</v>
      </c>
      <c r="V60">
        <f t="shared" si="34"/>
        <v>0</v>
      </c>
      <c r="W60">
        <f t="shared" si="35"/>
        <v>0</v>
      </c>
      <c r="X60">
        <f t="shared" si="36"/>
        <v>736.06</v>
      </c>
      <c r="Y60">
        <f t="shared" si="37"/>
        <v>521.37</v>
      </c>
      <c r="AA60">
        <v>50732134</v>
      </c>
      <c r="AB60">
        <f t="shared" si="38"/>
        <v>257.5188</v>
      </c>
      <c r="AC60">
        <f>ROUND((((ES60*1)*1)),6)</f>
        <v>0</v>
      </c>
      <c r="AD60">
        <f>ROUND((((((ET60*1.2)*1.1))-(((EU60*1.2)*1.1)))+AE60),6)</f>
        <v>0.39600000000000002</v>
      </c>
      <c r="AE60">
        <f>ROUND((((EU60*1.2)*1.1)),6)</f>
        <v>7.9200000000000007E-2</v>
      </c>
      <c r="AF60">
        <f>ROUND((((EV60*1.2)*1.1)),6)</f>
        <v>257.12279999999998</v>
      </c>
      <c r="AG60">
        <f t="shared" si="39"/>
        <v>0</v>
      </c>
      <c r="AH60">
        <f>(((EW60*1.2)*1.1))</f>
        <v>17.687999999999999</v>
      </c>
      <c r="AI60">
        <f>(((EX60*1.2)*1.1))</f>
        <v>0</v>
      </c>
      <c r="AJ60">
        <f t="shared" si="40"/>
        <v>0</v>
      </c>
      <c r="AK60">
        <v>195.09</v>
      </c>
      <c r="AL60">
        <v>0</v>
      </c>
      <c r="AM60">
        <v>0.3</v>
      </c>
      <c r="AN60">
        <v>0.06</v>
      </c>
      <c r="AO60">
        <v>194.79</v>
      </c>
      <c r="AP60">
        <v>0</v>
      </c>
      <c r="AQ60">
        <v>13.4</v>
      </c>
      <c r="AR60">
        <v>0</v>
      </c>
      <c r="AS60">
        <v>0</v>
      </c>
      <c r="AT60">
        <v>72</v>
      </c>
      <c r="AU60">
        <v>51</v>
      </c>
      <c r="AV60">
        <v>1.087</v>
      </c>
      <c r="AW60">
        <v>1</v>
      </c>
      <c r="AZ60">
        <v>1</v>
      </c>
      <c r="BA60">
        <v>30.48</v>
      </c>
      <c r="BB60">
        <v>13.5</v>
      </c>
      <c r="BC60">
        <v>1</v>
      </c>
      <c r="BD60" t="s">
        <v>3</v>
      </c>
      <c r="BE60" t="s">
        <v>3</v>
      </c>
      <c r="BF60" t="s">
        <v>3</v>
      </c>
      <c r="BG60" t="s">
        <v>3</v>
      </c>
      <c r="BH60">
        <v>0</v>
      </c>
      <c r="BI60">
        <v>1</v>
      </c>
      <c r="BJ60" t="s">
        <v>139</v>
      </c>
      <c r="BM60">
        <v>80</v>
      </c>
      <c r="BN60">
        <v>0</v>
      </c>
      <c r="BO60" t="s">
        <v>136</v>
      </c>
      <c r="BP60">
        <v>1</v>
      </c>
      <c r="BQ60">
        <v>30</v>
      </c>
      <c r="BR60">
        <v>0</v>
      </c>
      <c r="BS60">
        <v>30.48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72</v>
      </c>
      <c r="CA60">
        <v>51</v>
      </c>
      <c r="CB60" t="s">
        <v>3</v>
      </c>
      <c r="CE60">
        <v>30</v>
      </c>
      <c r="CF60">
        <v>0</v>
      </c>
      <c r="CG60">
        <v>0</v>
      </c>
      <c r="CM60">
        <v>0</v>
      </c>
      <c r="CN60" t="s">
        <v>265</v>
      </c>
      <c r="CO60">
        <v>0</v>
      </c>
      <c r="CP60">
        <f t="shared" si="41"/>
        <v>1022.9799999999999</v>
      </c>
      <c r="CQ60">
        <f t="shared" si="42"/>
        <v>0</v>
      </c>
      <c r="CR60">
        <f>(ROUND((ROUND(((((ET60*1.2)*1.1))*AV60*1),2)*BB60),2)+ROUND((ROUND(((AE60-(((EU60*1.2)*1.1)))*AV60*1),2)*BS60),2))</f>
        <v>5.81</v>
      </c>
      <c r="CS60">
        <f t="shared" si="43"/>
        <v>2.74</v>
      </c>
      <c r="CT60">
        <f t="shared" si="44"/>
        <v>8518.86</v>
      </c>
      <c r="CU60">
        <f t="shared" si="45"/>
        <v>0</v>
      </c>
      <c r="CV60">
        <f t="shared" si="46"/>
        <v>19.226855999999998</v>
      </c>
      <c r="CW60">
        <f t="shared" si="47"/>
        <v>0</v>
      </c>
      <c r="CX60">
        <f t="shared" si="48"/>
        <v>0</v>
      </c>
      <c r="CY60">
        <f t="shared" si="49"/>
        <v>736.05599999999993</v>
      </c>
      <c r="CZ60">
        <f t="shared" si="50"/>
        <v>521.37299999999993</v>
      </c>
      <c r="DC60" t="s">
        <v>3</v>
      </c>
      <c r="DD60" t="s">
        <v>26</v>
      </c>
      <c r="DE60" t="s">
        <v>27</v>
      </c>
      <c r="DF60" t="s">
        <v>27</v>
      </c>
      <c r="DG60" t="s">
        <v>27</v>
      </c>
      <c r="DH60" t="s">
        <v>3</v>
      </c>
      <c r="DI60" t="s">
        <v>27</v>
      </c>
      <c r="DJ60" t="s">
        <v>27</v>
      </c>
      <c r="DK60" t="s">
        <v>3</v>
      </c>
      <c r="DL60" t="s">
        <v>3</v>
      </c>
      <c r="DM60" t="s">
        <v>3</v>
      </c>
      <c r="DN60">
        <v>87</v>
      </c>
      <c r="DO60">
        <v>105</v>
      </c>
      <c r="DP60">
        <v>1.087</v>
      </c>
      <c r="DQ60">
        <v>1</v>
      </c>
      <c r="DU60">
        <v>1010</v>
      </c>
      <c r="DV60" t="s">
        <v>138</v>
      </c>
      <c r="DW60" t="s">
        <v>138</v>
      </c>
      <c r="DX60">
        <v>100</v>
      </c>
      <c r="DZ60" t="s">
        <v>3</v>
      </c>
      <c r="EA60" t="s">
        <v>3</v>
      </c>
      <c r="EB60" t="s">
        <v>3</v>
      </c>
      <c r="EC60" t="s">
        <v>3</v>
      </c>
      <c r="EE60">
        <v>50001688</v>
      </c>
      <c r="EF60">
        <v>30</v>
      </c>
      <c r="EG60" t="s">
        <v>20</v>
      </c>
      <c r="EH60">
        <v>0</v>
      </c>
      <c r="EI60" t="s">
        <v>3</v>
      </c>
      <c r="EJ60">
        <v>1</v>
      </c>
      <c r="EK60">
        <v>80</v>
      </c>
      <c r="EL60" t="s">
        <v>140</v>
      </c>
      <c r="EM60" t="s">
        <v>141</v>
      </c>
      <c r="EO60" t="s">
        <v>31</v>
      </c>
      <c r="EQ60">
        <v>0</v>
      </c>
      <c r="ER60">
        <v>195.09</v>
      </c>
      <c r="ES60">
        <v>0</v>
      </c>
      <c r="ET60">
        <v>0.3</v>
      </c>
      <c r="EU60">
        <v>0.06</v>
      </c>
      <c r="EV60">
        <v>194.79</v>
      </c>
      <c r="EW60">
        <v>13.4</v>
      </c>
      <c r="EX60">
        <v>0</v>
      </c>
      <c r="EY60">
        <v>0</v>
      </c>
      <c r="FQ60">
        <v>0</v>
      </c>
      <c r="FR60">
        <f t="shared" si="51"/>
        <v>0</v>
      </c>
      <c r="FS60">
        <v>0</v>
      </c>
      <c r="FX60">
        <v>87</v>
      </c>
      <c r="FY60">
        <v>105</v>
      </c>
      <c r="GA60" t="s">
        <v>3</v>
      </c>
      <c r="GD60">
        <v>0</v>
      </c>
      <c r="GF60">
        <v>-1302224066</v>
      </c>
      <c r="GG60">
        <v>2</v>
      </c>
      <c r="GH60">
        <v>1</v>
      </c>
      <c r="GI60">
        <v>2</v>
      </c>
      <c r="GJ60">
        <v>0</v>
      </c>
      <c r="GK60">
        <f>ROUND(R60*(R12)/100,2)</f>
        <v>0.48</v>
      </c>
      <c r="GL60">
        <f t="shared" si="52"/>
        <v>0</v>
      </c>
      <c r="GM60">
        <f t="shared" si="53"/>
        <v>2280.89</v>
      </c>
      <c r="GN60">
        <f t="shared" si="54"/>
        <v>2280.89</v>
      </c>
      <c r="GO60">
        <f t="shared" si="55"/>
        <v>0</v>
      </c>
      <c r="GP60">
        <f t="shared" si="56"/>
        <v>0</v>
      </c>
      <c r="GR60">
        <v>0</v>
      </c>
      <c r="GS60">
        <v>3</v>
      </c>
      <c r="GT60">
        <v>0</v>
      </c>
      <c r="GU60" t="s">
        <v>3</v>
      </c>
      <c r="GV60">
        <f t="shared" si="57"/>
        <v>0</v>
      </c>
      <c r="GW60">
        <v>1</v>
      </c>
      <c r="GX60">
        <f t="shared" si="58"/>
        <v>0</v>
      </c>
      <c r="HA60">
        <v>0</v>
      </c>
      <c r="HB60">
        <v>0</v>
      </c>
      <c r="HC60">
        <f t="shared" si="59"/>
        <v>0</v>
      </c>
      <c r="HE60" t="s">
        <v>3</v>
      </c>
      <c r="HF60" t="s">
        <v>3</v>
      </c>
      <c r="HM60" t="s">
        <v>3</v>
      </c>
      <c r="HN60" t="s">
        <v>3</v>
      </c>
      <c r="HO60" t="s">
        <v>3</v>
      </c>
      <c r="HP60" t="s">
        <v>3</v>
      </c>
      <c r="HQ60" t="s">
        <v>3</v>
      </c>
      <c r="IK60">
        <v>0</v>
      </c>
    </row>
    <row r="62" spans="1:245" x14ac:dyDescent="0.2">
      <c r="A62" s="2">
        <v>51</v>
      </c>
      <c r="B62" s="2">
        <f>B31</f>
        <v>1</v>
      </c>
      <c r="C62" s="2">
        <f>A31</f>
        <v>5</v>
      </c>
      <c r="D62" s="2">
        <f>ROW(A31)</f>
        <v>31</v>
      </c>
      <c r="E62" s="2"/>
      <c r="F62" s="2" t="str">
        <f>IF(F31&lt;&gt;"",F31,"")</f>
        <v>Новый подраздел</v>
      </c>
      <c r="G62" s="2" t="str">
        <f>IF(G31&lt;&gt;"",G31,"")</f>
        <v>Строительные работы</v>
      </c>
      <c r="H62" s="2">
        <v>0</v>
      </c>
      <c r="I62" s="2"/>
      <c r="J62" s="2"/>
      <c r="K62" s="2"/>
      <c r="L62" s="2"/>
      <c r="M62" s="2"/>
      <c r="N62" s="2"/>
      <c r="O62" s="2">
        <f t="shared" ref="O62:T62" si="64">ROUND(AB62,2)</f>
        <v>44215.040000000001</v>
      </c>
      <c r="P62" s="2">
        <f t="shared" si="64"/>
        <v>21590.31</v>
      </c>
      <c r="Q62" s="2">
        <f t="shared" si="64"/>
        <v>2768.85</v>
      </c>
      <c r="R62" s="2">
        <f t="shared" si="64"/>
        <v>1493.52</v>
      </c>
      <c r="S62" s="2">
        <f t="shared" si="64"/>
        <v>19855.88</v>
      </c>
      <c r="T62" s="2">
        <f t="shared" si="64"/>
        <v>0</v>
      </c>
      <c r="U62" s="2">
        <f>AH62</f>
        <v>52.232595623999998</v>
      </c>
      <c r="V62" s="2">
        <f>AI62</f>
        <v>0</v>
      </c>
      <c r="W62" s="2">
        <f>ROUND(AJ62,2)</f>
        <v>0</v>
      </c>
      <c r="X62" s="2">
        <f>ROUND(AK62,2)</f>
        <v>15028.14</v>
      </c>
      <c r="Y62" s="2">
        <f>ROUND(AL62,2)</f>
        <v>8248.01</v>
      </c>
      <c r="Z62" s="2"/>
      <c r="AA62" s="2"/>
      <c r="AB62" s="2">
        <f>ROUND(SUMIF(AA35:AA60,"=50732134",O35:O60),2)</f>
        <v>44215.040000000001</v>
      </c>
      <c r="AC62" s="2">
        <f>ROUND(SUMIF(AA35:AA60,"=50732134",P35:P60),2)</f>
        <v>21590.31</v>
      </c>
      <c r="AD62" s="2">
        <f>ROUND(SUMIF(AA35:AA60,"=50732134",Q35:Q60),2)</f>
        <v>2768.85</v>
      </c>
      <c r="AE62" s="2">
        <f>ROUND(SUMIF(AA35:AA60,"=50732134",R35:R60),2)</f>
        <v>1493.52</v>
      </c>
      <c r="AF62" s="2">
        <f>ROUND(SUMIF(AA35:AA60,"=50732134",S35:S60),2)</f>
        <v>19855.88</v>
      </c>
      <c r="AG62" s="2">
        <f>ROUND(SUMIF(AA35:AA60,"=50732134",T35:T60),2)</f>
        <v>0</v>
      </c>
      <c r="AH62" s="2">
        <f>SUMIF(AA35:AA60,"=50732134",U35:U60)</f>
        <v>52.232595623999998</v>
      </c>
      <c r="AI62" s="2">
        <f>SUMIF(AA35:AA60,"=50732134",V35:V60)</f>
        <v>0</v>
      </c>
      <c r="AJ62" s="2">
        <f>ROUND(SUMIF(AA35:AA60,"=50732134",W35:W60),2)</f>
        <v>0</v>
      </c>
      <c r="AK62" s="2">
        <f>ROUND(SUMIF(AA35:AA60,"=50732134",X35:X60),2)</f>
        <v>15028.14</v>
      </c>
      <c r="AL62" s="2">
        <f>ROUND(SUMIF(AA35:AA60,"=50732134",Y35:Y60),2)</f>
        <v>8248.01</v>
      </c>
      <c r="AM62" s="2"/>
      <c r="AN62" s="2"/>
      <c r="AO62" s="2">
        <f t="shared" ref="AO62:BD62" si="65">ROUND(BX62,2)</f>
        <v>0</v>
      </c>
      <c r="AP62" s="2">
        <f t="shared" si="65"/>
        <v>0</v>
      </c>
      <c r="AQ62" s="2">
        <f t="shared" si="65"/>
        <v>0</v>
      </c>
      <c r="AR62" s="2">
        <f t="shared" si="65"/>
        <v>69880.83</v>
      </c>
      <c r="AS62" s="2">
        <f t="shared" si="65"/>
        <v>69292.34</v>
      </c>
      <c r="AT62" s="2">
        <f t="shared" si="65"/>
        <v>588.49</v>
      </c>
      <c r="AU62" s="2">
        <f t="shared" si="65"/>
        <v>0</v>
      </c>
      <c r="AV62" s="2">
        <f t="shared" si="65"/>
        <v>21590.31</v>
      </c>
      <c r="AW62" s="2">
        <f t="shared" si="65"/>
        <v>21590.31</v>
      </c>
      <c r="AX62" s="2">
        <f t="shared" si="65"/>
        <v>0</v>
      </c>
      <c r="AY62" s="2">
        <f t="shared" si="65"/>
        <v>21590.31</v>
      </c>
      <c r="AZ62" s="2">
        <f t="shared" si="65"/>
        <v>0</v>
      </c>
      <c r="BA62" s="2">
        <f t="shared" si="65"/>
        <v>0</v>
      </c>
      <c r="BB62" s="2">
        <f t="shared" si="65"/>
        <v>0</v>
      </c>
      <c r="BC62" s="2">
        <f t="shared" si="65"/>
        <v>0</v>
      </c>
      <c r="BD62" s="2">
        <f t="shared" si="65"/>
        <v>0</v>
      </c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>
        <f>ROUND(SUMIF(AA35:AA60,"=50732134",FQ35:FQ60),2)</f>
        <v>0</v>
      </c>
      <c r="BY62" s="2">
        <f>ROUND(SUMIF(AA35:AA60,"=50732134",FR35:FR60),2)</f>
        <v>0</v>
      </c>
      <c r="BZ62" s="2">
        <f>ROUND(SUMIF(AA35:AA60,"=50732134",GL35:GL60),2)</f>
        <v>0</v>
      </c>
      <c r="CA62" s="2">
        <f>ROUND(SUMIF(AA35:AA60,"=50732134",GM35:GM60),2)</f>
        <v>69880.83</v>
      </c>
      <c r="CB62" s="2">
        <f>ROUND(SUMIF(AA35:AA60,"=50732134",GN35:GN60),2)</f>
        <v>69292.34</v>
      </c>
      <c r="CC62" s="2">
        <f>ROUND(SUMIF(AA35:AA60,"=50732134",GO35:GO60),2)</f>
        <v>588.49</v>
      </c>
      <c r="CD62" s="2">
        <f>ROUND(SUMIF(AA35:AA60,"=50732134",GP35:GP60),2)</f>
        <v>0</v>
      </c>
      <c r="CE62" s="2">
        <f>AC62-BX62</f>
        <v>21590.31</v>
      </c>
      <c r="CF62" s="2">
        <f>AC62-BY62</f>
        <v>21590.31</v>
      </c>
      <c r="CG62" s="2">
        <f>BX62-BZ62</f>
        <v>0</v>
      </c>
      <c r="CH62" s="2">
        <f>AC62-BX62-BY62+BZ62</f>
        <v>21590.31</v>
      </c>
      <c r="CI62" s="2">
        <f>BY62-BZ62</f>
        <v>0</v>
      </c>
      <c r="CJ62" s="2">
        <f>ROUND(SUMIF(AA35:AA60,"=50732134",GX35:GX60),2)</f>
        <v>0</v>
      </c>
      <c r="CK62" s="2">
        <f>ROUND(SUMIF(AA35:AA60,"=50732134",GY35:GY60),2)</f>
        <v>0</v>
      </c>
      <c r="CL62" s="2">
        <f>ROUND(SUMIF(AA35:AA60,"=50732134",GZ35:GZ60),2)</f>
        <v>0</v>
      </c>
      <c r="CM62" s="2">
        <f>ROUND(SUMIF(AA35:AA60,"=50732134",HD35:HD60),2)</f>
        <v>0</v>
      </c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>
        <v>0</v>
      </c>
    </row>
    <row r="64" spans="1:245" x14ac:dyDescent="0.2">
      <c r="A64" s="4">
        <v>50</v>
      </c>
      <c r="B64" s="4">
        <v>0</v>
      </c>
      <c r="C64" s="4">
        <v>0</v>
      </c>
      <c r="D64" s="4">
        <v>1</v>
      </c>
      <c r="E64" s="4">
        <v>201</v>
      </c>
      <c r="F64" s="4">
        <f>ROUND(Source!O62,O64)</f>
        <v>44215.040000000001</v>
      </c>
      <c r="G64" s="4" t="s">
        <v>142</v>
      </c>
      <c r="H64" s="4" t="s">
        <v>143</v>
      </c>
      <c r="I64" s="4"/>
      <c r="J64" s="4"/>
      <c r="K64" s="4">
        <v>201</v>
      </c>
      <c r="L64" s="4">
        <v>1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44215.040000000001</v>
      </c>
      <c r="X64" s="4">
        <v>1</v>
      </c>
      <c r="Y64" s="4">
        <v>44215.040000000001</v>
      </c>
      <c r="Z64" s="4"/>
      <c r="AA64" s="4"/>
      <c r="AB64" s="4"/>
    </row>
    <row r="65" spans="1:28" x14ac:dyDescent="0.2">
      <c r="A65" s="4">
        <v>50</v>
      </c>
      <c r="B65" s="4">
        <v>0</v>
      </c>
      <c r="C65" s="4">
        <v>0</v>
      </c>
      <c r="D65" s="4">
        <v>1</v>
      </c>
      <c r="E65" s="4">
        <v>202</v>
      </c>
      <c r="F65" s="4">
        <f>ROUND(Source!P62,O65)</f>
        <v>21590.31</v>
      </c>
      <c r="G65" s="4" t="s">
        <v>144</v>
      </c>
      <c r="H65" s="4" t="s">
        <v>145</v>
      </c>
      <c r="I65" s="4"/>
      <c r="J65" s="4"/>
      <c r="K65" s="4">
        <v>202</v>
      </c>
      <c r="L65" s="4">
        <v>2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21590.31</v>
      </c>
      <c r="X65" s="4">
        <v>1</v>
      </c>
      <c r="Y65" s="4">
        <v>21590.31</v>
      </c>
      <c r="Z65" s="4"/>
      <c r="AA65" s="4"/>
      <c r="AB65" s="4"/>
    </row>
    <row r="66" spans="1:28" x14ac:dyDescent="0.2">
      <c r="A66" s="4">
        <v>50</v>
      </c>
      <c r="B66" s="4">
        <v>0</v>
      </c>
      <c r="C66" s="4">
        <v>0</v>
      </c>
      <c r="D66" s="4">
        <v>1</v>
      </c>
      <c r="E66" s="4">
        <v>222</v>
      </c>
      <c r="F66" s="4">
        <f>ROUND(Source!AO62,O66)</f>
        <v>0</v>
      </c>
      <c r="G66" s="4" t="s">
        <v>146</v>
      </c>
      <c r="H66" s="4" t="s">
        <v>147</v>
      </c>
      <c r="I66" s="4"/>
      <c r="J66" s="4"/>
      <c r="K66" s="4">
        <v>222</v>
      </c>
      <c r="L66" s="4">
        <v>3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8" x14ac:dyDescent="0.2">
      <c r="A67" s="4">
        <v>50</v>
      </c>
      <c r="B67" s="4">
        <v>0</v>
      </c>
      <c r="C67" s="4">
        <v>0</v>
      </c>
      <c r="D67" s="4">
        <v>1</v>
      </c>
      <c r="E67" s="4">
        <v>225</v>
      </c>
      <c r="F67" s="4">
        <f>ROUND(Source!AV62,O67)</f>
        <v>21590.31</v>
      </c>
      <c r="G67" s="4" t="s">
        <v>148</v>
      </c>
      <c r="H67" s="4" t="s">
        <v>149</v>
      </c>
      <c r="I67" s="4"/>
      <c r="J67" s="4"/>
      <c r="K67" s="4">
        <v>225</v>
      </c>
      <c r="L67" s="4">
        <v>4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21590.31</v>
      </c>
      <c r="X67" s="4">
        <v>1</v>
      </c>
      <c r="Y67" s="4">
        <v>21590.31</v>
      </c>
      <c r="Z67" s="4"/>
      <c r="AA67" s="4"/>
      <c r="AB67" s="4"/>
    </row>
    <row r="68" spans="1:28" x14ac:dyDescent="0.2">
      <c r="A68" s="4">
        <v>50</v>
      </c>
      <c r="B68" s="4">
        <v>0</v>
      </c>
      <c r="C68" s="4">
        <v>0</v>
      </c>
      <c r="D68" s="4">
        <v>1</v>
      </c>
      <c r="E68" s="4">
        <v>226</v>
      </c>
      <c r="F68" s="4">
        <f>ROUND(Source!AW62,O68)</f>
        <v>21590.31</v>
      </c>
      <c r="G68" s="4" t="s">
        <v>150</v>
      </c>
      <c r="H68" s="4" t="s">
        <v>151</v>
      </c>
      <c r="I68" s="4"/>
      <c r="J68" s="4"/>
      <c r="K68" s="4">
        <v>226</v>
      </c>
      <c r="L68" s="4">
        <v>5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21590.31</v>
      </c>
      <c r="X68" s="4">
        <v>1</v>
      </c>
      <c r="Y68" s="4">
        <v>21590.31</v>
      </c>
      <c r="Z68" s="4"/>
      <c r="AA68" s="4"/>
      <c r="AB68" s="4"/>
    </row>
    <row r="69" spans="1:28" x14ac:dyDescent="0.2">
      <c r="A69" s="4">
        <v>50</v>
      </c>
      <c r="B69" s="4">
        <v>0</v>
      </c>
      <c r="C69" s="4">
        <v>0</v>
      </c>
      <c r="D69" s="4">
        <v>1</v>
      </c>
      <c r="E69" s="4">
        <v>227</v>
      </c>
      <c r="F69" s="4">
        <f>ROUND(Source!AX62,O69)</f>
        <v>0</v>
      </c>
      <c r="G69" s="4" t="s">
        <v>152</v>
      </c>
      <c r="H69" s="4" t="s">
        <v>153</v>
      </c>
      <c r="I69" s="4"/>
      <c r="J69" s="4"/>
      <c r="K69" s="4">
        <v>227</v>
      </c>
      <c r="L69" s="4">
        <v>6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8" x14ac:dyDescent="0.2">
      <c r="A70" s="4">
        <v>50</v>
      </c>
      <c r="B70" s="4">
        <v>0</v>
      </c>
      <c r="C70" s="4">
        <v>0</v>
      </c>
      <c r="D70" s="4">
        <v>1</v>
      </c>
      <c r="E70" s="4">
        <v>228</v>
      </c>
      <c r="F70" s="4">
        <f>ROUND(Source!AY62,O70)</f>
        <v>21590.31</v>
      </c>
      <c r="G70" s="4" t="s">
        <v>154</v>
      </c>
      <c r="H70" s="4" t="s">
        <v>155</v>
      </c>
      <c r="I70" s="4"/>
      <c r="J70" s="4"/>
      <c r="K70" s="4">
        <v>228</v>
      </c>
      <c r="L70" s="4">
        <v>7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21590.31</v>
      </c>
      <c r="X70" s="4">
        <v>1</v>
      </c>
      <c r="Y70" s="4">
        <v>21590.31</v>
      </c>
      <c r="Z70" s="4"/>
      <c r="AA70" s="4"/>
      <c r="AB70" s="4"/>
    </row>
    <row r="71" spans="1:28" x14ac:dyDescent="0.2">
      <c r="A71" s="4">
        <v>50</v>
      </c>
      <c r="B71" s="4">
        <v>0</v>
      </c>
      <c r="C71" s="4">
        <v>0</v>
      </c>
      <c r="D71" s="4">
        <v>1</v>
      </c>
      <c r="E71" s="4">
        <v>216</v>
      </c>
      <c r="F71" s="4">
        <f>ROUND(Source!AP62,O71)</f>
        <v>0</v>
      </c>
      <c r="G71" s="4" t="s">
        <v>156</v>
      </c>
      <c r="H71" s="4" t="s">
        <v>157</v>
      </c>
      <c r="I71" s="4"/>
      <c r="J71" s="4"/>
      <c r="K71" s="4">
        <v>216</v>
      </c>
      <c r="L71" s="4">
        <v>8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28" x14ac:dyDescent="0.2">
      <c r="A72" s="4">
        <v>50</v>
      </c>
      <c r="B72" s="4">
        <v>0</v>
      </c>
      <c r="C72" s="4">
        <v>0</v>
      </c>
      <c r="D72" s="4">
        <v>1</v>
      </c>
      <c r="E72" s="4">
        <v>223</v>
      </c>
      <c r="F72" s="4">
        <f>ROUND(Source!AQ62,O72)</f>
        <v>0</v>
      </c>
      <c r="G72" s="4" t="s">
        <v>158</v>
      </c>
      <c r="H72" s="4" t="s">
        <v>159</v>
      </c>
      <c r="I72" s="4"/>
      <c r="J72" s="4"/>
      <c r="K72" s="4">
        <v>223</v>
      </c>
      <c r="L72" s="4">
        <v>9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8" x14ac:dyDescent="0.2">
      <c r="A73" s="4">
        <v>50</v>
      </c>
      <c r="B73" s="4">
        <v>0</v>
      </c>
      <c r="C73" s="4">
        <v>0</v>
      </c>
      <c r="D73" s="4">
        <v>1</v>
      </c>
      <c r="E73" s="4">
        <v>229</v>
      </c>
      <c r="F73" s="4">
        <f>ROUND(Source!AZ62,O73)</f>
        <v>0</v>
      </c>
      <c r="G73" s="4" t="s">
        <v>160</v>
      </c>
      <c r="H73" s="4" t="s">
        <v>161</v>
      </c>
      <c r="I73" s="4"/>
      <c r="J73" s="4"/>
      <c r="K73" s="4">
        <v>229</v>
      </c>
      <c r="L73" s="4">
        <v>10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8" x14ac:dyDescent="0.2">
      <c r="A74" s="4">
        <v>50</v>
      </c>
      <c r="B74" s="4">
        <v>0</v>
      </c>
      <c r="C74" s="4">
        <v>0</v>
      </c>
      <c r="D74" s="4">
        <v>1</v>
      </c>
      <c r="E74" s="4">
        <v>203</v>
      </c>
      <c r="F74" s="4">
        <f>ROUND(Source!Q62,O74)</f>
        <v>2768.85</v>
      </c>
      <c r="G74" s="4" t="s">
        <v>162</v>
      </c>
      <c r="H74" s="4" t="s">
        <v>163</v>
      </c>
      <c r="I74" s="4"/>
      <c r="J74" s="4"/>
      <c r="K74" s="4">
        <v>203</v>
      </c>
      <c r="L74" s="4">
        <v>11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2768.85</v>
      </c>
      <c r="X74" s="4">
        <v>1</v>
      </c>
      <c r="Y74" s="4">
        <v>2768.85</v>
      </c>
      <c r="Z74" s="4"/>
      <c r="AA74" s="4"/>
      <c r="AB74" s="4"/>
    </row>
    <row r="75" spans="1:28" x14ac:dyDescent="0.2">
      <c r="A75" s="4">
        <v>50</v>
      </c>
      <c r="B75" s="4">
        <v>0</v>
      </c>
      <c r="C75" s="4">
        <v>0</v>
      </c>
      <c r="D75" s="4">
        <v>1</v>
      </c>
      <c r="E75" s="4">
        <v>231</v>
      </c>
      <c r="F75" s="4">
        <f>ROUND(Source!BB62,O75)</f>
        <v>0</v>
      </c>
      <c r="G75" s="4" t="s">
        <v>164</v>
      </c>
      <c r="H75" s="4" t="s">
        <v>165</v>
      </c>
      <c r="I75" s="4"/>
      <c r="J75" s="4"/>
      <c r="K75" s="4">
        <v>231</v>
      </c>
      <c r="L75" s="4">
        <v>12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8" x14ac:dyDescent="0.2">
      <c r="A76" s="4">
        <v>50</v>
      </c>
      <c r="B76" s="4">
        <v>0</v>
      </c>
      <c r="C76" s="4">
        <v>0</v>
      </c>
      <c r="D76" s="4">
        <v>1</v>
      </c>
      <c r="E76" s="4">
        <v>204</v>
      </c>
      <c r="F76" s="4">
        <f>ROUND(Source!R62,O76)</f>
        <v>1493.52</v>
      </c>
      <c r="G76" s="4" t="s">
        <v>166</v>
      </c>
      <c r="H76" s="4" t="s">
        <v>167</v>
      </c>
      <c r="I76" s="4"/>
      <c r="J76" s="4"/>
      <c r="K76" s="4">
        <v>204</v>
      </c>
      <c r="L76" s="4">
        <v>13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1493.52</v>
      </c>
      <c r="X76" s="4">
        <v>1</v>
      </c>
      <c r="Y76" s="4">
        <v>1493.52</v>
      </c>
      <c r="Z76" s="4"/>
      <c r="AA76" s="4"/>
      <c r="AB76" s="4"/>
    </row>
    <row r="77" spans="1:28" x14ac:dyDescent="0.2">
      <c r="A77" s="4">
        <v>50</v>
      </c>
      <c r="B77" s="4">
        <v>0</v>
      </c>
      <c r="C77" s="4">
        <v>0</v>
      </c>
      <c r="D77" s="4">
        <v>1</v>
      </c>
      <c r="E77" s="4">
        <v>205</v>
      </c>
      <c r="F77" s="4">
        <f>ROUND(Source!S62,O77)</f>
        <v>19855.88</v>
      </c>
      <c r="G77" s="4" t="s">
        <v>168</v>
      </c>
      <c r="H77" s="4" t="s">
        <v>169</v>
      </c>
      <c r="I77" s="4"/>
      <c r="J77" s="4"/>
      <c r="K77" s="4">
        <v>205</v>
      </c>
      <c r="L77" s="4">
        <v>14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19855.88</v>
      </c>
      <c r="X77" s="4">
        <v>1</v>
      </c>
      <c r="Y77" s="4">
        <v>19855.88</v>
      </c>
      <c r="Z77" s="4"/>
      <c r="AA77" s="4"/>
      <c r="AB77" s="4"/>
    </row>
    <row r="78" spans="1:28" x14ac:dyDescent="0.2">
      <c r="A78" s="4">
        <v>50</v>
      </c>
      <c r="B78" s="4">
        <v>0</v>
      </c>
      <c r="C78" s="4">
        <v>0</v>
      </c>
      <c r="D78" s="4">
        <v>1</v>
      </c>
      <c r="E78" s="4">
        <v>232</v>
      </c>
      <c r="F78" s="4">
        <f>ROUND(Source!BC62,O78)</f>
        <v>0</v>
      </c>
      <c r="G78" s="4" t="s">
        <v>170</v>
      </c>
      <c r="H78" s="4" t="s">
        <v>171</v>
      </c>
      <c r="I78" s="4"/>
      <c r="J78" s="4"/>
      <c r="K78" s="4">
        <v>232</v>
      </c>
      <c r="L78" s="4">
        <v>15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0</v>
      </c>
      <c r="X78" s="4">
        <v>1</v>
      </c>
      <c r="Y78" s="4">
        <v>0</v>
      </c>
      <c r="Z78" s="4"/>
      <c r="AA78" s="4"/>
      <c r="AB78" s="4"/>
    </row>
    <row r="79" spans="1:28" x14ac:dyDescent="0.2">
      <c r="A79" s="4">
        <v>50</v>
      </c>
      <c r="B79" s="4">
        <v>0</v>
      </c>
      <c r="C79" s="4">
        <v>0</v>
      </c>
      <c r="D79" s="4">
        <v>1</v>
      </c>
      <c r="E79" s="4">
        <v>214</v>
      </c>
      <c r="F79" s="4">
        <f>ROUND(Source!AS62,O79)</f>
        <v>69292.34</v>
      </c>
      <c r="G79" s="4" t="s">
        <v>172</v>
      </c>
      <c r="H79" s="4" t="s">
        <v>173</v>
      </c>
      <c r="I79" s="4"/>
      <c r="J79" s="4"/>
      <c r="K79" s="4">
        <v>214</v>
      </c>
      <c r="L79" s="4">
        <v>16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69292.34</v>
      </c>
      <c r="X79" s="4">
        <v>1</v>
      </c>
      <c r="Y79" s="4">
        <v>69292.34</v>
      </c>
      <c r="Z79" s="4"/>
      <c r="AA79" s="4"/>
      <c r="AB79" s="4"/>
    </row>
    <row r="80" spans="1:28" x14ac:dyDescent="0.2">
      <c r="A80" s="4">
        <v>50</v>
      </c>
      <c r="B80" s="4">
        <v>0</v>
      </c>
      <c r="C80" s="4">
        <v>0</v>
      </c>
      <c r="D80" s="4">
        <v>1</v>
      </c>
      <c r="E80" s="4">
        <v>215</v>
      </c>
      <c r="F80" s="4">
        <f>ROUND(Source!AT62,O80)</f>
        <v>588.49</v>
      </c>
      <c r="G80" s="4" t="s">
        <v>174</v>
      </c>
      <c r="H80" s="4" t="s">
        <v>175</v>
      </c>
      <c r="I80" s="4"/>
      <c r="J80" s="4"/>
      <c r="K80" s="4">
        <v>215</v>
      </c>
      <c r="L80" s="4">
        <v>17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588.49</v>
      </c>
      <c r="X80" s="4">
        <v>1</v>
      </c>
      <c r="Y80" s="4">
        <v>588.49</v>
      </c>
      <c r="Z80" s="4"/>
      <c r="AA80" s="4"/>
      <c r="AB80" s="4"/>
    </row>
    <row r="81" spans="1:245" x14ac:dyDescent="0.2">
      <c r="A81" s="4">
        <v>50</v>
      </c>
      <c r="B81" s="4">
        <v>0</v>
      </c>
      <c r="C81" s="4">
        <v>0</v>
      </c>
      <c r="D81" s="4">
        <v>1</v>
      </c>
      <c r="E81" s="4">
        <v>217</v>
      </c>
      <c r="F81" s="4">
        <f>ROUND(Source!AU62,O81)</f>
        <v>0</v>
      </c>
      <c r="G81" s="4" t="s">
        <v>176</v>
      </c>
      <c r="H81" s="4" t="s">
        <v>177</v>
      </c>
      <c r="I81" s="4"/>
      <c r="J81" s="4"/>
      <c r="K81" s="4">
        <v>217</v>
      </c>
      <c r="L81" s="4">
        <v>18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45" x14ac:dyDescent="0.2">
      <c r="A82" s="4">
        <v>50</v>
      </c>
      <c r="B82" s="4">
        <v>0</v>
      </c>
      <c r="C82" s="4">
        <v>0</v>
      </c>
      <c r="D82" s="4">
        <v>1</v>
      </c>
      <c r="E82" s="4">
        <v>230</v>
      </c>
      <c r="F82" s="4">
        <f>ROUND(Source!BA62,O82)</f>
        <v>0</v>
      </c>
      <c r="G82" s="4" t="s">
        <v>178</v>
      </c>
      <c r="H82" s="4" t="s">
        <v>179</v>
      </c>
      <c r="I82" s="4"/>
      <c r="J82" s="4"/>
      <c r="K82" s="4">
        <v>230</v>
      </c>
      <c r="L82" s="4">
        <v>19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45" x14ac:dyDescent="0.2">
      <c r="A83" s="4">
        <v>50</v>
      </c>
      <c r="B83" s="4">
        <v>0</v>
      </c>
      <c r="C83" s="4">
        <v>0</v>
      </c>
      <c r="D83" s="4">
        <v>1</v>
      </c>
      <c r="E83" s="4">
        <v>206</v>
      </c>
      <c r="F83" s="4">
        <f>ROUND(Source!T62,O83)</f>
        <v>0</v>
      </c>
      <c r="G83" s="4" t="s">
        <v>180</v>
      </c>
      <c r="H83" s="4" t="s">
        <v>181</v>
      </c>
      <c r="I83" s="4"/>
      <c r="J83" s="4"/>
      <c r="K83" s="4">
        <v>206</v>
      </c>
      <c r="L83" s="4">
        <v>20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45" x14ac:dyDescent="0.2">
      <c r="A84" s="4">
        <v>50</v>
      </c>
      <c r="B84" s="4">
        <v>0</v>
      </c>
      <c r="C84" s="4">
        <v>0</v>
      </c>
      <c r="D84" s="4">
        <v>1</v>
      </c>
      <c r="E84" s="4">
        <v>207</v>
      </c>
      <c r="F84" s="4">
        <f>Source!U62</f>
        <v>52.232595623999998</v>
      </c>
      <c r="G84" s="4" t="s">
        <v>182</v>
      </c>
      <c r="H84" s="4" t="s">
        <v>183</v>
      </c>
      <c r="I84" s="4"/>
      <c r="J84" s="4"/>
      <c r="K84" s="4">
        <v>207</v>
      </c>
      <c r="L84" s="4">
        <v>21</v>
      </c>
      <c r="M84" s="4">
        <v>3</v>
      </c>
      <c r="N84" s="4" t="s">
        <v>3</v>
      </c>
      <c r="O84" s="4">
        <v>-1</v>
      </c>
      <c r="P84" s="4"/>
      <c r="Q84" s="4"/>
      <c r="R84" s="4"/>
      <c r="S84" s="4"/>
      <c r="T84" s="4"/>
      <c r="U84" s="4"/>
      <c r="V84" s="4"/>
      <c r="W84" s="4">
        <v>52.232595623999998</v>
      </c>
      <c r="X84" s="4">
        <v>1</v>
      </c>
      <c r="Y84" s="4">
        <v>52.232595623999998</v>
      </c>
      <c r="Z84" s="4"/>
      <c r="AA84" s="4"/>
      <c r="AB84" s="4"/>
    </row>
    <row r="85" spans="1:245" x14ac:dyDescent="0.2">
      <c r="A85" s="4">
        <v>50</v>
      </c>
      <c r="B85" s="4">
        <v>0</v>
      </c>
      <c r="C85" s="4">
        <v>0</v>
      </c>
      <c r="D85" s="4">
        <v>1</v>
      </c>
      <c r="E85" s="4">
        <v>208</v>
      </c>
      <c r="F85" s="4">
        <f>Source!V62</f>
        <v>0</v>
      </c>
      <c r="G85" s="4" t="s">
        <v>184</v>
      </c>
      <c r="H85" s="4" t="s">
        <v>185</v>
      </c>
      <c r="I85" s="4"/>
      <c r="J85" s="4"/>
      <c r="K85" s="4">
        <v>208</v>
      </c>
      <c r="L85" s="4">
        <v>22</v>
      </c>
      <c r="M85" s="4">
        <v>3</v>
      </c>
      <c r="N85" s="4" t="s">
        <v>3</v>
      </c>
      <c r="O85" s="4">
        <v>-1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45" x14ac:dyDescent="0.2">
      <c r="A86" s="4">
        <v>50</v>
      </c>
      <c r="B86" s="4">
        <v>0</v>
      </c>
      <c r="C86" s="4">
        <v>0</v>
      </c>
      <c r="D86" s="4">
        <v>1</v>
      </c>
      <c r="E86" s="4">
        <v>209</v>
      </c>
      <c r="F86" s="4">
        <f>ROUND(Source!W62,O86)</f>
        <v>0</v>
      </c>
      <c r="G86" s="4" t="s">
        <v>186</v>
      </c>
      <c r="H86" s="4" t="s">
        <v>187</v>
      </c>
      <c r="I86" s="4"/>
      <c r="J86" s="4"/>
      <c r="K86" s="4">
        <v>209</v>
      </c>
      <c r="L86" s="4">
        <v>23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45" x14ac:dyDescent="0.2">
      <c r="A87" s="4">
        <v>50</v>
      </c>
      <c r="B87" s="4">
        <v>0</v>
      </c>
      <c r="C87" s="4">
        <v>0</v>
      </c>
      <c r="D87" s="4">
        <v>1</v>
      </c>
      <c r="E87" s="4">
        <v>233</v>
      </c>
      <c r="F87" s="4">
        <f>ROUND(Source!BD62,O87)</f>
        <v>0</v>
      </c>
      <c r="G87" s="4" t="s">
        <v>188</v>
      </c>
      <c r="H87" s="4" t="s">
        <v>189</v>
      </c>
      <c r="I87" s="4"/>
      <c r="J87" s="4"/>
      <c r="K87" s="4">
        <v>233</v>
      </c>
      <c r="L87" s="4">
        <v>24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45" x14ac:dyDescent="0.2">
      <c r="A88" s="4">
        <v>50</v>
      </c>
      <c r="B88" s="4">
        <v>0</v>
      </c>
      <c r="C88" s="4">
        <v>0</v>
      </c>
      <c r="D88" s="4">
        <v>1</v>
      </c>
      <c r="E88" s="4">
        <v>210</v>
      </c>
      <c r="F88" s="4">
        <f>ROUND(Source!X62,O88)</f>
        <v>15028.14</v>
      </c>
      <c r="G88" s="4" t="s">
        <v>190</v>
      </c>
      <c r="H88" s="4" t="s">
        <v>191</v>
      </c>
      <c r="I88" s="4"/>
      <c r="J88" s="4"/>
      <c r="K88" s="4">
        <v>210</v>
      </c>
      <c r="L88" s="4">
        <v>25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15028.14</v>
      </c>
      <c r="X88" s="4">
        <v>1</v>
      </c>
      <c r="Y88" s="4">
        <v>15028.14</v>
      </c>
      <c r="Z88" s="4"/>
      <c r="AA88" s="4"/>
      <c r="AB88" s="4"/>
    </row>
    <row r="89" spans="1:245" x14ac:dyDescent="0.2">
      <c r="A89" s="4">
        <v>50</v>
      </c>
      <c r="B89" s="4">
        <v>0</v>
      </c>
      <c r="C89" s="4">
        <v>0</v>
      </c>
      <c r="D89" s="4">
        <v>1</v>
      </c>
      <c r="E89" s="4">
        <v>211</v>
      </c>
      <c r="F89" s="4">
        <f>ROUND(Source!Y62,O89)</f>
        <v>8248.01</v>
      </c>
      <c r="G89" s="4" t="s">
        <v>192</v>
      </c>
      <c r="H89" s="4" t="s">
        <v>193</v>
      </c>
      <c r="I89" s="4"/>
      <c r="J89" s="4"/>
      <c r="K89" s="4">
        <v>211</v>
      </c>
      <c r="L89" s="4">
        <v>26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8248.01</v>
      </c>
      <c r="X89" s="4">
        <v>1</v>
      </c>
      <c r="Y89" s="4">
        <v>8248.01</v>
      </c>
      <c r="Z89" s="4"/>
      <c r="AA89" s="4"/>
      <c r="AB89" s="4"/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224</v>
      </c>
      <c r="F90" s="4">
        <f>ROUND(Source!AR62,O90)</f>
        <v>69880.83</v>
      </c>
      <c r="G90" s="4" t="s">
        <v>194</v>
      </c>
      <c r="H90" s="4" t="s">
        <v>195</v>
      </c>
      <c r="I90" s="4"/>
      <c r="J90" s="4"/>
      <c r="K90" s="4">
        <v>224</v>
      </c>
      <c r="L90" s="4">
        <v>27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69880.83</v>
      </c>
      <c r="X90" s="4">
        <v>1</v>
      </c>
      <c r="Y90" s="4">
        <v>69880.83</v>
      </c>
      <c r="Z90" s="4"/>
      <c r="AA90" s="4"/>
      <c r="AB90" s="4"/>
    </row>
    <row r="92" spans="1:245" x14ac:dyDescent="0.2">
      <c r="A92" s="1">
        <v>5</v>
      </c>
      <c r="B92" s="1">
        <v>1</v>
      </c>
      <c r="C92" s="1"/>
      <c r="D92" s="1">
        <f>ROW(A111)</f>
        <v>111</v>
      </c>
      <c r="E92" s="1"/>
      <c r="F92" s="1" t="s">
        <v>19</v>
      </c>
      <c r="G92" s="1" t="s">
        <v>196</v>
      </c>
      <c r="H92" s="1" t="s">
        <v>3</v>
      </c>
      <c r="I92" s="1">
        <v>0</v>
      </c>
      <c r="J92" s="1"/>
      <c r="K92" s="1">
        <v>0</v>
      </c>
      <c r="L92" s="1"/>
      <c r="M92" s="1" t="s">
        <v>3</v>
      </c>
      <c r="N92" s="1"/>
      <c r="O92" s="1"/>
      <c r="P92" s="1"/>
      <c r="Q92" s="1"/>
      <c r="R92" s="1"/>
      <c r="S92" s="1">
        <v>0</v>
      </c>
      <c r="T92" s="1"/>
      <c r="U92" s="1" t="s">
        <v>3</v>
      </c>
      <c r="V92" s="1">
        <v>0</v>
      </c>
      <c r="W92" s="1"/>
      <c r="X92" s="1"/>
      <c r="Y92" s="1"/>
      <c r="Z92" s="1"/>
      <c r="AA92" s="1"/>
      <c r="AB92" s="1" t="s">
        <v>3</v>
      </c>
      <c r="AC92" s="1" t="s">
        <v>3</v>
      </c>
      <c r="AD92" s="1" t="s">
        <v>3</v>
      </c>
      <c r="AE92" s="1" t="s">
        <v>3</v>
      </c>
      <c r="AF92" s="1" t="s">
        <v>3</v>
      </c>
      <c r="AG92" s="1" t="s">
        <v>3</v>
      </c>
      <c r="AH92" s="1"/>
      <c r="AI92" s="1"/>
      <c r="AJ92" s="1"/>
      <c r="AK92" s="1"/>
      <c r="AL92" s="1"/>
      <c r="AM92" s="1"/>
      <c r="AN92" s="1"/>
      <c r="AO92" s="1"/>
      <c r="AP92" s="1" t="s">
        <v>3</v>
      </c>
      <c r="AQ92" s="1" t="s">
        <v>3</v>
      </c>
      <c r="AR92" s="1" t="s">
        <v>3</v>
      </c>
      <c r="AS92" s="1"/>
      <c r="AT92" s="1"/>
      <c r="AU92" s="1"/>
      <c r="AV92" s="1"/>
      <c r="AW92" s="1"/>
      <c r="AX92" s="1"/>
      <c r="AY92" s="1"/>
      <c r="AZ92" s="1" t="s">
        <v>3</v>
      </c>
      <c r="BA92" s="1"/>
      <c r="BB92" s="1" t="s">
        <v>3</v>
      </c>
      <c r="BC92" s="1" t="s">
        <v>3</v>
      </c>
      <c r="BD92" s="1" t="s">
        <v>3</v>
      </c>
      <c r="BE92" s="1" t="s">
        <v>3</v>
      </c>
      <c r="BF92" s="1" t="s">
        <v>3</v>
      </c>
      <c r="BG92" s="1" t="s">
        <v>3</v>
      </c>
      <c r="BH92" s="1" t="s">
        <v>3</v>
      </c>
      <c r="BI92" s="1" t="s">
        <v>3</v>
      </c>
      <c r="BJ92" s="1" t="s">
        <v>3</v>
      </c>
      <c r="BK92" s="1" t="s">
        <v>3</v>
      </c>
      <c r="BL92" s="1" t="s">
        <v>3</v>
      </c>
      <c r="BM92" s="1" t="s">
        <v>3</v>
      </c>
      <c r="BN92" s="1" t="s">
        <v>3</v>
      </c>
      <c r="BO92" s="1" t="s">
        <v>3</v>
      </c>
      <c r="BP92" s="1" t="s">
        <v>3</v>
      </c>
      <c r="BQ92" s="1"/>
      <c r="BR92" s="1"/>
      <c r="BS92" s="1"/>
      <c r="BT92" s="1"/>
      <c r="BU92" s="1"/>
      <c r="BV92" s="1"/>
      <c r="BW92" s="1"/>
      <c r="BX92" s="1">
        <v>0</v>
      </c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>
        <v>0</v>
      </c>
    </row>
    <row r="94" spans="1:245" x14ac:dyDescent="0.2">
      <c r="A94" s="2">
        <v>52</v>
      </c>
      <c r="B94" s="2">
        <f t="shared" ref="B94:G94" si="66">B111</f>
        <v>1</v>
      </c>
      <c r="C94" s="2">
        <f t="shared" si="66"/>
        <v>5</v>
      </c>
      <c r="D94" s="2">
        <f t="shared" si="66"/>
        <v>92</v>
      </c>
      <c r="E94" s="2">
        <f t="shared" si="66"/>
        <v>0</v>
      </c>
      <c r="F94" s="2" t="str">
        <f t="shared" si="66"/>
        <v>Новый подраздел</v>
      </c>
      <c r="G94" s="2" t="str">
        <f t="shared" si="66"/>
        <v>Монтажные работы</v>
      </c>
      <c r="H94" s="2"/>
      <c r="I94" s="2"/>
      <c r="J94" s="2"/>
      <c r="K94" s="2"/>
      <c r="L94" s="2"/>
      <c r="M94" s="2"/>
      <c r="N94" s="2"/>
      <c r="O94" s="2">
        <f t="shared" ref="O94:AT94" si="67">O111</f>
        <v>515634.36</v>
      </c>
      <c r="P94" s="2">
        <f t="shared" si="67"/>
        <v>361282.89</v>
      </c>
      <c r="Q94" s="2">
        <f t="shared" si="67"/>
        <v>1096.5</v>
      </c>
      <c r="R94" s="2">
        <f t="shared" si="67"/>
        <v>8.23</v>
      </c>
      <c r="S94" s="2">
        <f t="shared" si="67"/>
        <v>153254.97</v>
      </c>
      <c r="T94" s="2">
        <f t="shared" si="67"/>
        <v>0</v>
      </c>
      <c r="U94" s="2">
        <f t="shared" si="67"/>
        <v>389.91705091508402</v>
      </c>
      <c r="V94" s="2">
        <f t="shared" si="67"/>
        <v>0</v>
      </c>
      <c r="W94" s="2">
        <f t="shared" si="67"/>
        <v>0</v>
      </c>
      <c r="X94" s="2">
        <f t="shared" si="67"/>
        <v>135218.81</v>
      </c>
      <c r="Y94" s="2">
        <f t="shared" si="67"/>
        <v>62865.279999999999</v>
      </c>
      <c r="Z94" s="2">
        <f t="shared" si="67"/>
        <v>0</v>
      </c>
      <c r="AA94" s="2">
        <f t="shared" si="67"/>
        <v>0</v>
      </c>
      <c r="AB94" s="2">
        <f t="shared" si="67"/>
        <v>515634.36</v>
      </c>
      <c r="AC94" s="2">
        <f t="shared" si="67"/>
        <v>361282.89</v>
      </c>
      <c r="AD94" s="2">
        <f t="shared" si="67"/>
        <v>1096.5</v>
      </c>
      <c r="AE94" s="2">
        <f t="shared" si="67"/>
        <v>8.23</v>
      </c>
      <c r="AF94" s="2">
        <f t="shared" si="67"/>
        <v>153254.97</v>
      </c>
      <c r="AG94" s="2">
        <f t="shared" si="67"/>
        <v>0</v>
      </c>
      <c r="AH94" s="2">
        <f t="shared" si="67"/>
        <v>389.91705091508402</v>
      </c>
      <c r="AI94" s="2">
        <f t="shared" si="67"/>
        <v>0</v>
      </c>
      <c r="AJ94" s="2">
        <f t="shared" si="67"/>
        <v>0</v>
      </c>
      <c r="AK94" s="2">
        <f t="shared" si="67"/>
        <v>135218.81</v>
      </c>
      <c r="AL94" s="2">
        <f t="shared" si="67"/>
        <v>62865.279999999999</v>
      </c>
      <c r="AM94" s="2">
        <f t="shared" si="67"/>
        <v>0</v>
      </c>
      <c r="AN94" s="2">
        <f t="shared" si="67"/>
        <v>0</v>
      </c>
      <c r="AO94" s="2">
        <f t="shared" si="67"/>
        <v>0</v>
      </c>
      <c r="AP94" s="2">
        <f t="shared" si="67"/>
        <v>0</v>
      </c>
      <c r="AQ94" s="2">
        <f t="shared" si="67"/>
        <v>0</v>
      </c>
      <c r="AR94" s="2">
        <f t="shared" si="67"/>
        <v>1445544.35</v>
      </c>
      <c r="AS94" s="2">
        <f t="shared" si="67"/>
        <v>311288.92</v>
      </c>
      <c r="AT94" s="2">
        <f t="shared" si="67"/>
        <v>1134255.43</v>
      </c>
      <c r="AU94" s="2">
        <f t="shared" ref="AU94:BZ94" si="68">AU111</f>
        <v>0</v>
      </c>
      <c r="AV94" s="2">
        <f t="shared" si="68"/>
        <v>361282.89</v>
      </c>
      <c r="AW94" s="2">
        <f t="shared" si="68"/>
        <v>361282.89</v>
      </c>
      <c r="AX94" s="2">
        <f t="shared" si="68"/>
        <v>0</v>
      </c>
      <c r="AY94" s="2">
        <f t="shared" si="68"/>
        <v>361282.89</v>
      </c>
      <c r="AZ94" s="2">
        <f t="shared" si="68"/>
        <v>0</v>
      </c>
      <c r="BA94" s="2">
        <f t="shared" si="68"/>
        <v>0</v>
      </c>
      <c r="BB94" s="2">
        <f t="shared" si="68"/>
        <v>241730.98</v>
      </c>
      <c r="BC94" s="2">
        <f t="shared" si="68"/>
        <v>490081.75</v>
      </c>
      <c r="BD94" s="2">
        <f t="shared" si="68"/>
        <v>0</v>
      </c>
      <c r="BE94" s="2">
        <f t="shared" si="68"/>
        <v>0</v>
      </c>
      <c r="BF94" s="2">
        <f t="shared" si="68"/>
        <v>0</v>
      </c>
      <c r="BG94" s="2">
        <f t="shared" si="68"/>
        <v>0</v>
      </c>
      <c r="BH94" s="2">
        <f t="shared" si="68"/>
        <v>0</v>
      </c>
      <c r="BI94" s="2">
        <f t="shared" si="68"/>
        <v>0</v>
      </c>
      <c r="BJ94" s="2">
        <f t="shared" si="68"/>
        <v>0</v>
      </c>
      <c r="BK94" s="2">
        <f t="shared" si="68"/>
        <v>0</v>
      </c>
      <c r="BL94" s="2">
        <f t="shared" si="68"/>
        <v>0</v>
      </c>
      <c r="BM94" s="2">
        <f t="shared" si="68"/>
        <v>0</v>
      </c>
      <c r="BN94" s="2">
        <f t="shared" si="68"/>
        <v>0</v>
      </c>
      <c r="BO94" s="2">
        <f t="shared" si="68"/>
        <v>0</v>
      </c>
      <c r="BP94" s="2">
        <f t="shared" si="68"/>
        <v>0</v>
      </c>
      <c r="BQ94" s="2">
        <f t="shared" si="68"/>
        <v>0</v>
      </c>
      <c r="BR94" s="2">
        <f t="shared" si="68"/>
        <v>0</v>
      </c>
      <c r="BS94" s="2">
        <f t="shared" si="68"/>
        <v>0</v>
      </c>
      <c r="BT94" s="2">
        <f t="shared" si="68"/>
        <v>0</v>
      </c>
      <c r="BU94" s="2">
        <f t="shared" si="68"/>
        <v>0</v>
      </c>
      <c r="BV94" s="2">
        <f t="shared" si="68"/>
        <v>0</v>
      </c>
      <c r="BW94" s="2">
        <f t="shared" si="68"/>
        <v>0</v>
      </c>
      <c r="BX94" s="2">
        <f t="shared" si="68"/>
        <v>0</v>
      </c>
      <c r="BY94" s="2">
        <f t="shared" si="68"/>
        <v>0</v>
      </c>
      <c r="BZ94" s="2">
        <f t="shared" si="68"/>
        <v>0</v>
      </c>
      <c r="CA94" s="2">
        <f t="shared" ref="CA94:DF94" si="69">CA111</f>
        <v>1445544.35</v>
      </c>
      <c r="CB94" s="2">
        <f t="shared" si="69"/>
        <v>311288.92</v>
      </c>
      <c r="CC94" s="2">
        <f t="shared" si="69"/>
        <v>1134255.43</v>
      </c>
      <c r="CD94" s="2">
        <f t="shared" si="69"/>
        <v>0</v>
      </c>
      <c r="CE94" s="2">
        <f t="shared" si="69"/>
        <v>361282.89</v>
      </c>
      <c r="CF94" s="2">
        <f t="shared" si="69"/>
        <v>361282.89</v>
      </c>
      <c r="CG94" s="2">
        <f t="shared" si="69"/>
        <v>0</v>
      </c>
      <c r="CH94" s="2">
        <f t="shared" si="69"/>
        <v>361282.89</v>
      </c>
      <c r="CI94" s="2">
        <f t="shared" si="69"/>
        <v>0</v>
      </c>
      <c r="CJ94" s="2">
        <f t="shared" si="69"/>
        <v>0</v>
      </c>
      <c r="CK94" s="2">
        <f t="shared" si="69"/>
        <v>241730.98</v>
      </c>
      <c r="CL94" s="2">
        <f t="shared" si="69"/>
        <v>490081.75</v>
      </c>
      <c r="CM94" s="2">
        <f t="shared" si="69"/>
        <v>0</v>
      </c>
      <c r="CN94" s="2">
        <f t="shared" si="69"/>
        <v>0</v>
      </c>
      <c r="CO94" s="2">
        <f t="shared" si="69"/>
        <v>0</v>
      </c>
      <c r="CP94" s="2">
        <f t="shared" si="69"/>
        <v>0</v>
      </c>
      <c r="CQ94" s="2">
        <f t="shared" si="69"/>
        <v>0</v>
      </c>
      <c r="CR94" s="2">
        <f t="shared" si="69"/>
        <v>0</v>
      </c>
      <c r="CS94" s="2">
        <f t="shared" si="69"/>
        <v>0</v>
      </c>
      <c r="CT94" s="2">
        <f t="shared" si="69"/>
        <v>0</v>
      </c>
      <c r="CU94" s="2">
        <f t="shared" si="69"/>
        <v>0</v>
      </c>
      <c r="CV94" s="2">
        <f t="shared" si="69"/>
        <v>0</v>
      </c>
      <c r="CW94" s="2">
        <f t="shared" si="69"/>
        <v>0</v>
      </c>
      <c r="CX94" s="2">
        <f t="shared" si="69"/>
        <v>0</v>
      </c>
      <c r="CY94" s="2">
        <f t="shared" si="69"/>
        <v>0</v>
      </c>
      <c r="CZ94" s="2">
        <f t="shared" si="69"/>
        <v>0</v>
      </c>
      <c r="DA94" s="2">
        <f t="shared" si="69"/>
        <v>0</v>
      </c>
      <c r="DB94" s="2">
        <f t="shared" si="69"/>
        <v>0</v>
      </c>
      <c r="DC94" s="2">
        <f t="shared" si="69"/>
        <v>0</v>
      </c>
      <c r="DD94" s="2">
        <f t="shared" si="69"/>
        <v>0</v>
      </c>
      <c r="DE94" s="2">
        <f t="shared" si="69"/>
        <v>0</v>
      </c>
      <c r="DF94" s="2">
        <f t="shared" si="69"/>
        <v>0</v>
      </c>
      <c r="DG94" s="3">
        <f t="shared" ref="DG94:EL94" si="70">DG111</f>
        <v>0</v>
      </c>
      <c r="DH94" s="3">
        <f t="shared" si="70"/>
        <v>0</v>
      </c>
      <c r="DI94" s="3">
        <f t="shared" si="70"/>
        <v>0</v>
      </c>
      <c r="DJ94" s="3">
        <f t="shared" si="70"/>
        <v>0</v>
      </c>
      <c r="DK94" s="3">
        <f t="shared" si="70"/>
        <v>0</v>
      </c>
      <c r="DL94" s="3">
        <f t="shared" si="70"/>
        <v>0</v>
      </c>
      <c r="DM94" s="3">
        <f t="shared" si="70"/>
        <v>0</v>
      </c>
      <c r="DN94" s="3">
        <f t="shared" si="70"/>
        <v>0</v>
      </c>
      <c r="DO94" s="3">
        <f t="shared" si="70"/>
        <v>0</v>
      </c>
      <c r="DP94" s="3">
        <f t="shared" si="70"/>
        <v>0</v>
      </c>
      <c r="DQ94" s="3">
        <f t="shared" si="70"/>
        <v>0</v>
      </c>
      <c r="DR94" s="3">
        <f t="shared" si="70"/>
        <v>0</v>
      </c>
      <c r="DS94" s="3">
        <f t="shared" si="70"/>
        <v>0</v>
      </c>
      <c r="DT94" s="3">
        <f t="shared" si="70"/>
        <v>0</v>
      </c>
      <c r="DU94" s="3">
        <f t="shared" si="70"/>
        <v>0</v>
      </c>
      <c r="DV94" s="3">
        <f t="shared" si="70"/>
        <v>0</v>
      </c>
      <c r="DW94" s="3">
        <f t="shared" si="70"/>
        <v>0</v>
      </c>
      <c r="DX94" s="3">
        <f t="shared" si="70"/>
        <v>0</v>
      </c>
      <c r="DY94" s="3">
        <f t="shared" si="70"/>
        <v>0</v>
      </c>
      <c r="DZ94" s="3">
        <f t="shared" si="70"/>
        <v>0</v>
      </c>
      <c r="EA94" s="3">
        <f t="shared" si="70"/>
        <v>0</v>
      </c>
      <c r="EB94" s="3">
        <f t="shared" si="70"/>
        <v>0</v>
      </c>
      <c r="EC94" s="3">
        <f t="shared" si="70"/>
        <v>0</v>
      </c>
      <c r="ED94" s="3">
        <f t="shared" si="70"/>
        <v>0</v>
      </c>
      <c r="EE94" s="3">
        <f t="shared" si="70"/>
        <v>0</v>
      </c>
      <c r="EF94" s="3">
        <f t="shared" si="70"/>
        <v>0</v>
      </c>
      <c r="EG94" s="3">
        <f t="shared" si="70"/>
        <v>0</v>
      </c>
      <c r="EH94" s="3">
        <f t="shared" si="70"/>
        <v>0</v>
      </c>
      <c r="EI94" s="3">
        <f t="shared" si="70"/>
        <v>0</v>
      </c>
      <c r="EJ94" s="3">
        <f t="shared" si="70"/>
        <v>0</v>
      </c>
      <c r="EK94" s="3">
        <f t="shared" si="70"/>
        <v>0</v>
      </c>
      <c r="EL94" s="3">
        <f t="shared" si="70"/>
        <v>0</v>
      </c>
      <c r="EM94" s="3">
        <f t="shared" ref="EM94:FR94" si="71">EM111</f>
        <v>0</v>
      </c>
      <c r="EN94" s="3">
        <f t="shared" si="71"/>
        <v>0</v>
      </c>
      <c r="EO94" s="3">
        <f t="shared" si="71"/>
        <v>0</v>
      </c>
      <c r="EP94" s="3">
        <f t="shared" si="71"/>
        <v>0</v>
      </c>
      <c r="EQ94" s="3">
        <f t="shared" si="71"/>
        <v>0</v>
      </c>
      <c r="ER94" s="3">
        <f t="shared" si="71"/>
        <v>0</v>
      </c>
      <c r="ES94" s="3">
        <f t="shared" si="71"/>
        <v>0</v>
      </c>
      <c r="ET94" s="3">
        <f t="shared" si="71"/>
        <v>0</v>
      </c>
      <c r="EU94" s="3">
        <f t="shared" si="71"/>
        <v>0</v>
      </c>
      <c r="EV94" s="3">
        <f t="shared" si="71"/>
        <v>0</v>
      </c>
      <c r="EW94" s="3">
        <f t="shared" si="71"/>
        <v>0</v>
      </c>
      <c r="EX94" s="3">
        <f t="shared" si="71"/>
        <v>0</v>
      </c>
      <c r="EY94" s="3">
        <f t="shared" si="71"/>
        <v>0</v>
      </c>
      <c r="EZ94" s="3">
        <f t="shared" si="71"/>
        <v>0</v>
      </c>
      <c r="FA94" s="3">
        <f t="shared" si="71"/>
        <v>0</v>
      </c>
      <c r="FB94" s="3">
        <f t="shared" si="71"/>
        <v>0</v>
      </c>
      <c r="FC94" s="3">
        <f t="shared" si="71"/>
        <v>0</v>
      </c>
      <c r="FD94" s="3">
        <f t="shared" si="71"/>
        <v>0</v>
      </c>
      <c r="FE94" s="3">
        <f t="shared" si="71"/>
        <v>0</v>
      </c>
      <c r="FF94" s="3">
        <f t="shared" si="71"/>
        <v>0</v>
      </c>
      <c r="FG94" s="3">
        <f t="shared" si="71"/>
        <v>0</v>
      </c>
      <c r="FH94" s="3">
        <f t="shared" si="71"/>
        <v>0</v>
      </c>
      <c r="FI94" s="3">
        <f t="shared" si="71"/>
        <v>0</v>
      </c>
      <c r="FJ94" s="3">
        <f t="shared" si="71"/>
        <v>0</v>
      </c>
      <c r="FK94" s="3">
        <f t="shared" si="71"/>
        <v>0</v>
      </c>
      <c r="FL94" s="3">
        <f t="shared" si="71"/>
        <v>0</v>
      </c>
      <c r="FM94" s="3">
        <f t="shared" si="71"/>
        <v>0</v>
      </c>
      <c r="FN94" s="3">
        <f t="shared" si="71"/>
        <v>0</v>
      </c>
      <c r="FO94" s="3">
        <f t="shared" si="71"/>
        <v>0</v>
      </c>
      <c r="FP94" s="3">
        <f t="shared" si="71"/>
        <v>0</v>
      </c>
      <c r="FQ94" s="3">
        <f t="shared" si="71"/>
        <v>0</v>
      </c>
      <c r="FR94" s="3">
        <f t="shared" si="71"/>
        <v>0</v>
      </c>
      <c r="FS94" s="3">
        <f t="shared" ref="FS94:GX94" si="72">FS111</f>
        <v>0</v>
      </c>
      <c r="FT94" s="3">
        <f t="shared" si="72"/>
        <v>0</v>
      </c>
      <c r="FU94" s="3">
        <f t="shared" si="72"/>
        <v>0</v>
      </c>
      <c r="FV94" s="3">
        <f t="shared" si="72"/>
        <v>0</v>
      </c>
      <c r="FW94" s="3">
        <f t="shared" si="72"/>
        <v>0</v>
      </c>
      <c r="FX94" s="3">
        <f t="shared" si="72"/>
        <v>0</v>
      </c>
      <c r="FY94" s="3">
        <f t="shared" si="72"/>
        <v>0</v>
      </c>
      <c r="FZ94" s="3">
        <f t="shared" si="72"/>
        <v>0</v>
      </c>
      <c r="GA94" s="3">
        <f t="shared" si="72"/>
        <v>0</v>
      </c>
      <c r="GB94" s="3">
        <f t="shared" si="72"/>
        <v>0</v>
      </c>
      <c r="GC94" s="3">
        <f t="shared" si="72"/>
        <v>0</v>
      </c>
      <c r="GD94" s="3">
        <f t="shared" si="72"/>
        <v>0</v>
      </c>
      <c r="GE94" s="3">
        <f t="shared" si="72"/>
        <v>0</v>
      </c>
      <c r="GF94" s="3">
        <f t="shared" si="72"/>
        <v>0</v>
      </c>
      <c r="GG94" s="3">
        <f t="shared" si="72"/>
        <v>0</v>
      </c>
      <c r="GH94" s="3">
        <f t="shared" si="72"/>
        <v>0</v>
      </c>
      <c r="GI94" s="3">
        <f t="shared" si="72"/>
        <v>0</v>
      </c>
      <c r="GJ94" s="3">
        <f t="shared" si="72"/>
        <v>0</v>
      </c>
      <c r="GK94" s="3">
        <f t="shared" si="72"/>
        <v>0</v>
      </c>
      <c r="GL94" s="3">
        <f t="shared" si="72"/>
        <v>0</v>
      </c>
      <c r="GM94" s="3">
        <f t="shared" si="72"/>
        <v>0</v>
      </c>
      <c r="GN94" s="3">
        <f t="shared" si="72"/>
        <v>0</v>
      </c>
      <c r="GO94" s="3">
        <f t="shared" si="72"/>
        <v>0</v>
      </c>
      <c r="GP94" s="3">
        <f t="shared" si="72"/>
        <v>0</v>
      </c>
      <c r="GQ94" s="3">
        <f t="shared" si="72"/>
        <v>0</v>
      </c>
      <c r="GR94" s="3">
        <f t="shared" si="72"/>
        <v>0</v>
      </c>
      <c r="GS94" s="3">
        <f t="shared" si="72"/>
        <v>0</v>
      </c>
      <c r="GT94" s="3">
        <f t="shared" si="72"/>
        <v>0</v>
      </c>
      <c r="GU94" s="3">
        <f t="shared" si="72"/>
        <v>0</v>
      </c>
      <c r="GV94" s="3">
        <f t="shared" si="72"/>
        <v>0</v>
      </c>
      <c r="GW94" s="3">
        <f t="shared" si="72"/>
        <v>0</v>
      </c>
      <c r="GX94" s="3">
        <f t="shared" si="72"/>
        <v>0</v>
      </c>
    </row>
    <row r="96" spans="1:245" x14ac:dyDescent="0.2">
      <c r="A96">
        <v>17</v>
      </c>
      <c r="B96">
        <v>1</v>
      </c>
      <c r="E96" t="s">
        <v>197</v>
      </c>
      <c r="F96" t="s">
        <v>198</v>
      </c>
      <c r="G96" t="s">
        <v>199</v>
      </c>
      <c r="H96" t="s">
        <v>200</v>
      </c>
      <c r="I96">
        <f>ROUND(1000/1000,9)</f>
        <v>1</v>
      </c>
      <c r="J96">
        <v>0</v>
      </c>
      <c r="K96">
        <f>ROUND(1000/1000,9)</f>
        <v>1</v>
      </c>
      <c r="O96">
        <f t="shared" ref="O96:O109" si="73">ROUND(CP96,2)</f>
        <v>126088.05</v>
      </c>
      <c r="P96">
        <f t="shared" ref="P96:P109" si="74">ROUND((ROUND((AC96*AW96*I96),2)*BC96),2)</f>
        <v>126088.05</v>
      </c>
      <c r="Q96">
        <f>0</f>
        <v>0</v>
      </c>
      <c r="R96">
        <f t="shared" ref="R96:R109" si="75">ROUND((ROUND((AE96*AV96*I96),2)*BS96),2)</f>
        <v>0</v>
      </c>
      <c r="S96">
        <f>0</f>
        <v>0</v>
      </c>
      <c r="T96">
        <f t="shared" ref="T96:T109" si="76">ROUND(CU96*I96,2)</f>
        <v>0</v>
      </c>
      <c r="U96">
        <f t="shared" ref="U96:U109" si="77">CV96*I96</f>
        <v>0</v>
      </c>
      <c r="V96">
        <f t="shared" ref="V96:V109" si="78">CW96*I96</f>
        <v>0</v>
      </c>
      <c r="W96">
        <f t="shared" ref="W96:W109" si="79">ROUND(CX96*I96,2)</f>
        <v>0</v>
      </c>
      <c r="X96">
        <f t="shared" ref="X96:X109" si="80">ROUND(CY96,2)</f>
        <v>0</v>
      </c>
      <c r="Y96">
        <f t="shared" ref="Y96:Y109" si="81">ROUND(CZ96,2)</f>
        <v>0</v>
      </c>
      <c r="AA96">
        <v>50732134</v>
      </c>
      <c r="AB96">
        <f>ROUND((AC96+0+0),6)</f>
        <v>34735</v>
      </c>
      <c r="AC96">
        <f>ROUND(((ES96*1)),6)</f>
        <v>34735</v>
      </c>
      <c r="AD96">
        <f>ROUND(((((ET96*1.2))-((EU96*1.2)))+AE96),6)</f>
        <v>6060</v>
      </c>
      <c r="AE96">
        <f>ROUND(((EU96*1.2)),6)</f>
        <v>0</v>
      </c>
      <c r="AF96">
        <f>ROUND(((EV96*1.2)),6)</f>
        <v>8071.2</v>
      </c>
      <c r="AG96">
        <f t="shared" ref="AG96:AG109" si="82">ROUND((AP96),6)</f>
        <v>0</v>
      </c>
      <c r="AH96">
        <f>((EW96*1.2))</f>
        <v>0</v>
      </c>
      <c r="AI96">
        <f>((EX96*1.2))</f>
        <v>0</v>
      </c>
      <c r="AJ96">
        <f t="shared" ref="AJ96:AJ109" si="83">(AS96)</f>
        <v>0</v>
      </c>
      <c r="AK96">
        <v>46511</v>
      </c>
      <c r="AL96">
        <v>34735</v>
      </c>
      <c r="AM96">
        <v>5050</v>
      </c>
      <c r="AN96">
        <v>0</v>
      </c>
      <c r="AO96">
        <v>6726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1</v>
      </c>
      <c r="AW96">
        <v>1</v>
      </c>
      <c r="AZ96">
        <v>1</v>
      </c>
      <c r="BA96">
        <v>26.06</v>
      </c>
      <c r="BB96">
        <v>17.12</v>
      </c>
      <c r="BC96">
        <v>3.63</v>
      </c>
      <c r="BD96" t="s">
        <v>3</v>
      </c>
      <c r="BE96" t="s">
        <v>3</v>
      </c>
      <c r="BF96" t="s">
        <v>3</v>
      </c>
      <c r="BG96" t="s">
        <v>3</v>
      </c>
      <c r="BH96">
        <v>0</v>
      </c>
      <c r="BI96">
        <v>2</v>
      </c>
      <c r="BJ96" t="s">
        <v>201</v>
      </c>
      <c r="BM96">
        <v>1114</v>
      </c>
      <c r="BN96">
        <v>0</v>
      </c>
      <c r="BO96" t="s">
        <v>198</v>
      </c>
      <c r="BP96">
        <v>1</v>
      </c>
      <c r="BQ96">
        <v>160</v>
      </c>
      <c r="BR96">
        <v>0</v>
      </c>
      <c r="BS96">
        <v>26.06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3</v>
      </c>
      <c r="BZ96">
        <v>0</v>
      </c>
      <c r="CA96">
        <v>0</v>
      </c>
      <c r="CB96" t="s">
        <v>3</v>
      </c>
      <c r="CE96">
        <v>30</v>
      </c>
      <c r="CF96">
        <v>0</v>
      </c>
      <c r="CG96">
        <v>0</v>
      </c>
      <c r="CM96">
        <v>0</v>
      </c>
      <c r="CN96" t="s">
        <v>270</v>
      </c>
      <c r="CO96">
        <v>0</v>
      </c>
      <c r="CP96">
        <f t="shared" ref="CP96:CP109" si="84">(P96+Q96+S96)</f>
        <v>126088.05</v>
      </c>
      <c r="CQ96">
        <f t="shared" ref="CQ96:CQ109" si="85">ROUND((ROUND((AC96*AW96*1),2)*BC96),2)</f>
        <v>126088.05</v>
      </c>
      <c r="CR96">
        <f>(ROUND((ROUND((((ET96*1.2))*AV96*1),2)*BB96),2)+ROUND((ROUND(((AE96-((EU96*1.2)))*AV96*1),2)*BS96),2))</f>
        <v>103747.2</v>
      </c>
      <c r="CS96">
        <f t="shared" ref="CS96:CS109" si="86">ROUND((ROUND((AE96*AV96*1),2)*BS96),2)</f>
        <v>0</v>
      </c>
      <c r="CT96">
        <f t="shared" ref="CT96:CT109" si="87">ROUND((ROUND((AF96*AV96*1),2)*BA96),2)</f>
        <v>210335.47</v>
      </c>
      <c r="CU96">
        <f t="shared" ref="CU96:CU109" si="88">AG96</f>
        <v>0</v>
      </c>
      <c r="CV96">
        <f t="shared" ref="CV96:CV109" si="89">(AH96*AV96)</f>
        <v>0</v>
      </c>
      <c r="CW96">
        <f t="shared" ref="CW96:CW109" si="90">AI96</f>
        <v>0</v>
      </c>
      <c r="CX96">
        <f t="shared" ref="CX96:CX109" si="91">AJ96</f>
        <v>0</v>
      </c>
      <c r="CY96">
        <f t="shared" ref="CY96:CY109" si="92">S96*(BZ96/100)</f>
        <v>0</v>
      </c>
      <c r="CZ96">
        <f t="shared" ref="CZ96:CZ109" si="93">S96*(CA96/100)</f>
        <v>0</v>
      </c>
      <c r="DC96" t="s">
        <v>3</v>
      </c>
      <c r="DD96" t="s">
        <v>202</v>
      </c>
      <c r="DE96" t="s">
        <v>203</v>
      </c>
      <c r="DF96" t="s">
        <v>203</v>
      </c>
      <c r="DG96" t="s">
        <v>203</v>
      </c>
      <c r="DH96" t="s">
        <v>3</v>
      </c>
      <c r="DI96" t="s">
        <v>203</v>
      </c>
      <c r="DJ96" t="s">
        <v>203</v>
      </c>
      <c r="DK96" t="s">
        <v>3</v>
      </c>
      <c r="DL96" t="s">
        <v>3</v>
      </c>
      <c r="DM96" t="s">
        <v>3</v>
      </c>
      <c r="DN96">
        <v>0</v>
      </c>
      <c r="DO96">
        <v>0</v>
      </c>
      <c r="DP96">
        <v>1</v>
      </c>
      <c r="DQ96">
        <v>1</v>
      </c>
      <c r="DU96">
        <v>1013</v>
      </c>
      <c r="DV96" t="s">
        <v>200</v>
      </c>
      <c r="DW96" t="s">
        <v>200</v>
      </c>
      <c r="DX96">
        <v>1</v>
      </c>
      <c r="DZ96" t="s">
        <v>3</v>
      </c>
      <c r="EA96" t="s">
        <v>3</v>
      </c>
      <c r="EB96" t="s">
        <v>3</v>
      </c>
      <c r="EC96" t="s">
        <v>3</v>
      </c>
      <c r="EE96">
        <v>50002776</v>
      </c>
      <c r="EF96">
        <v>160</v>
      </c>
      <c r="EG96" t="s">
        <v>204</v>
      </c>
      <c r="EH96">
        <v>0</v>
      </c>
      <c r="EI96" t="s">
        <v>3</v>
      </c>
      <c r="EJ96">
        <v>1</v>
      </c>
      <c r="EK96">
        <v>1114</v>
      </c>
      <c r="EL96" t="s">
        <v>205</v>
      </c>
      <c r="EM96" t="s">
        <v>206</v>
      </c>
      <c r="EO96" t="s">
        <v>207</v>
      </c>
      <c r="EQ96">
        <v>0</v>
      </c>
      <c r="ER96">
        <v>46511</v>
      </c>
      <c r="ES96">
        <v>34735</v>
      </c>
      <c r="ET96">
        <v>5050</v>
      </c>
      <c r="EU96">
        <v>0</v>
      </c>
      <c r="EV96">
        <v>6726</v>
      </c>
      <c r="EW96">
        <v>0</v>
      </c>
      <c r="EX96">
        <v>0</v>
      </c>
      <c r="EY96">
        <v>0</v>
      </c>
      <c r="FQ96">
        <v>0</v>
      </c>
      <c r="FR96">
        <f t="shared" ref="FR96:FR109" si="94">ROUND(IF(BI96=3,GM96,0),2)</f>
        <v>0</v>
      </c>
      <c r="FS96">
        <v>0</v>
      </c>
      <c r="FX96">
        <v>0</v>
      </c>
      <c r="FY96">
        <v>0</v>
      </c>
      <c r="GA96" t="s">
        <v>3</v>
      </c>
      <c r="GD96">
        <v>1</v>
      </c>
      <c r="GF96">
        <v>-2047963929</v>
      </c>
      <c r="GG96">
        <v>2</v>
      </c>
      <c r="GH96">
        <v>1</v>
      </c>
      <c r="GI96">
        <v>2</v>
      </c>
      <c r="GJ96">
        <v>3</v>
      </c>
      <c r="GK96">
        <v>0</v>
      </c>
      <c r="GL96">
        <f t="shared" ref="GL96:GL109" si="95">ROUND(IF(AND(BH96=3,BI96=3,FS96&lt;&gt;0),P96,0),2)</f>
        <v>0</v>
      </c>
      <c r="GM96">
        <f>ROUND(P96+GY96+GZ96,2)+GX96</f>
        <v>440170.72</v>
      </c>
      <c r="GN96">
        <f t="shared" ref="GN96:GN109" si="96">IF(OR(BI96=0,BI96=1),GM96-GX96,0)</f>
        <v>0</v>
      </c>
      <c r="GO96">
        <f t="shared" ref="GO96:GO109" si="97">IF(BI96=2,GM96-GX96,0)</f>
        <v>440170.72</v>
      </c>
      <c r="GP96">
        <f t="shared" ref="GP96:GP109" si="98">IF(BI96=4,GM96-GX96,0)</f>
        <v>0</v>
      </c>
      <c r="GR96">
        <v>0</v>
      </c>
      <c r="GS96">
        <v>3</v>
      </c>
      <c r="GT96">
        <v>0</v>
      </c>
      <c r="GU96" t="s">
        <v>3</v>
      </c>
      <c r="GV96">
        <f t="shared" ref="GV96:GV109" si="99">ROUND((GT96),6)</f>
        <v>0</v>
      </c>
      <c r="GW96">
        <v>1</v>
      </c>
      <c r="GX96">
        <f t="shared" ref="GX96:GX109" si="100">ROUND(HC96*I96,2)</f>
        <v>0</v>
      </c>
      <c r="GY96">
        <f>(ROUND((ROUND((((ET96*1.2))*AV96*I96),2)*BB96),2)+ROUND((ROUND(((AE96-((EU96*1.2)))*AV96*I96),2)*BS96),2))</f>
        <v>103747.2</v>
      </c>
      <c r="GZ96">
        <f>ROUND((ROUND((AF96*AV96*I96),2)*BA96),2)</f>
        <v>210335.47</v>
      </c>
      <c r="HA96">
        <v>0</v>
      </c>
      <c r="HB96">
        <v>0</v>
      </c>
      <c r="HC96">
        <f t="shared" ref="HC96:HC109" si="101">GV96*GW96</f>
        <v>0</v>
      </c>
      <c r="HE96" t="s">
        <v>3</v>
      </c>
      <c r="HF96" t="s">
        <v>3</v>
      </c>
      <c r="HM96" t="s">
        <v>3</v>
      </c>
      <c r="HN96" t="s">
        <v>3</v>
      </c>
      <c r="HO96" t="s">
        <v>3</v>
      </c>
      <c r="HP96" t="s">
        <v>3</v>
      </c>
      <c r="HQ96" t="s">
        <v>3</v>
      </c>
      <c r="IK96">
        <v>0</v>
      </c>
    </row>
    <row r="97" spans="1:245" x14ac:dyDescent="0.2">
      <c r="A97">
        <v>17</v>
      </c>
      <c r="B97">
        <v>1</v>
      </c>
      <c r="E97" t="s">
        <v>3</v>
      </c>
      <c r="F97" t="s">
        <v>208</v>
      </c>
      <c r="G97" t="s">
        <v>209</v>
      </c>
      <c r="H97" t="s">
        <v>42</v>
      </c>
      <c r="I97">
        <f>ROUND(1000*1.02,9)</f>
        <v>1020</v>
      </c>
      <c r="J97">
        <v>0</v>
      </c>
      <c r="K97">
        <f>ROUND(1000*1.02,9)</f>
        <v>1020</v>
      </c>
      <c r="O97">
        <f t="shared" si="73"/>
        <v>51930.65</v>
      </c>
      <c r="P97">
        <f t="shared" si="74"/>
        <v>51930.65</v>
      </c>
      <c r="Q97">
        <f>(ROUND((ROUND(((ET97)*AV97*I97),2)*BB97),2)+ROUND((ROUND(((AE97-(EU97))*AV97*I97),2)*BS97),2))</f>
        <v>0</v>
      </c>
      <c r="R97">
        <f t="shared" si="75"/>
        <v>0</v>
      </c>
      <c r="S97">
        <f>ROUND((ROUND((AF97*AV97*I97),2)*BA97),2)</f>
        <v>0</v>
      </c>
      <c r="T97">
        <f t="shared" si="76"/>
        <v>0</v>
      </c>
      <c r="U97">
        <f t="shared" si="77"/>
        <v>0</v>
      </c>
      <c r="V97">
        <f t="shared" si="78"/>
        <v>0</v>
      </c>
      <c r="W97">
        <f t="shared" si="79"/>
        <v>0</v>
      </c>
      <c r="X97">
        <f t="shared" si="80"/>
        <v>0</v>
      </c>
      <c r="Y97">
        <f t="shared" si="81"/>
        <v>0</v>
      </c>
      <c r="AA97">
        <v>-1</v>
      </c>
      <c r="AB97">
        <f>ROUND((AC97+AD97+AF97),6)</f>
        <v>5.32</v>
      </c>
      <c r="AC97">
        <f>ROUND((ES97),6)</f>
        <v>5.32</v>
      </c>
      <c r="AD97">
        <f>ROUND((((ET97)-(EU97))+AE97),6)</f>
        <v>0</v>
      </c>
      <c r="AE97">
        <f>ROUND((EU97),6)</f>
        <v>0</v>
      </c>
      <c r="AF97">
        <f>ROUND((EV97),6)</f>
        <v>0</v>
      </c>
      <c r="AG97">
        <f t="shared" si="82"/>
        <v>0</v>
      </c>
      <c r="AH97">
        <f>(EW97)</f>
        <v>0</v>
      </c>
      <c r="AI97">
        <f>(EX97)</f>
        <v>0</v>
      </c>
      <c r="AJ97">
        <f t="shared" si="83"/>
        <v>0</v>
      </c>
      <c r="AK97">
        <v>5.3199999999999994</v>
      </c>
      <c r="AL97">
        <v>5.3199999999999994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1</v>
      </c>
      <c r="AW97">
        <v>1</v>
      </c>
      <c r="AZ97">
        <v>1</v>
      </c>
      <c r="BA97">
        <v>1</v>
      </c>
      <c r="BB97">
        <v>1</v>
      </c>
      <c r="BC97">
        <v>9.57</v>
      </c>
      <c r="BD97" t="s">
        <v>3</v>
      </c>
      <c r="BE97" t="s">
        <v>3</v>
      </c>
      <c r="BF97" t="s">
        <v>3</v>
      </c>
      <c r="BG97" t="s">
        <v>3</v>
      </c>
      <c r="BH97">
        <v>3</v>
      </c>
      <c r="BI97">
        <v>2</v>
      </c>
      <c r="BJ97" t="s">
        <v>3</v>
      </c>
      <c r="BM97">
        <v>1618</v>
      </c>
      <c r="BN97">
        <v>0</v>
      </c>
      <c r="BO97" t="s">
        <v>3</v>
      </c>
      <c r="BP97">
        <v>0</v>
      </c>
      <c r="BQ97">
        <v>201</v>
      </c>
      <c r="BR97">
        <v>0</v>
      </c>
      <c r="BS97">
        <v>1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3</v>
      </c>
      <c r="BZ97">
        <v>0</v>
      </c>
      <c r="CA97">
        <v>0</v>
      </c>
      <c r="CB97" t="s">
        <v>3</v>
      </c>
      <c r="CE97">
        <v>30</v>
      </c>
      <c r="CF97">
        <v>0</v>
      </c>
      <c r="CG97">
        <v>0</v>
      </c>
      <c r="CM97">
        <v>0</v>
      </c>
      <c r="CN97" t="s">
        <v>3</v>
      </c>
      <c r="CO97">
        <v>0</v>
      </c>
      <c r="CP97">
        <f t="shared" si="84"/>
        <v>51930.65</v>
      </c>
      <c r="CQ97">
        <f t="shared" si="85"/>
        <v>50.91</v>
      </c>
      <c r="CR97">
        <f>(ROUND((ROUND(((ET97)*AV97*1),2)*BB97),2)+ROUND((ROUND(((AE97-(EU97))*AV97*1),2)*BS97),2))</f>
        <v>0</v>
      </c>
      <c r="CS97">
        <f t="shared" si="86"/>
        <v>0</v>
      </c>
      <c r="CT97">
        <f t="shared" si="87"/>
        <v>0</v>
      </c>
      <c r="CU97">
        <f t="shared" si="88"/>
        <v>0</v>
      </c>
      <c r="CV97">
        <f t="shared" si="89"/>
        <v>0</v>
      </c>
      <c r="CW97">
        <f t="shared" si="90"/>
        <v>0</v>
      </c>
      <c r="CX97">
        <f t="shared" si="91"/>
        <v>0</v>
      </c>
      <c r="CY97">
        <f t="shared" si="92"/>
        <v>0</v>
      </c>
      <c r="CZ97">
        <f t="shared" si="93"/>
        <v>0</v>
      </c>
      <c r="DC97" t="s">
        <v>3</v>
      </c>
      <c r="DD97" t="s">
        <v>3</v>
      </c>
      <c r="DE97" t="s">
        <v>3</v>
      </c>
      <c r="DF97" t="s">
        <v>3</v>
      </c>
      <c r="DG97" t="s">
        <v>3</v>
      </c>
      <c r="DH97" t="s">
        <v>3</v>
      </c>
      <c r="DI97" t="s">
        <v>3</v>
      </c>
      <c r="DJ97" t="s">
        <v>3</v>
      </c>
      <c r="DK97" t="s">
        <v>3</v>
      </c>
      <c r="DL97" t="s">
        <v>3</v>
      </c>
      <c r="DM97" t="s">
        <v>3</v>
      </c>
      <c r="DN97">
        <v>0</v>
      </c>
      <c r="DO97">
        <v>0</v>
      </c>
      <c r="DP97">
        <v>1</v>
      </c>
      <c r="DQ97">
        <v>1</v>
      </c>
      <c r="DU97">
        <v>1003</v>
      </c>
      <c r="DV97" t="s">
        <v>42</v>
      </c>
      <c r="DW97" t="s">
        <v>42</v>
      </c>
      <c r="DX97">
        <v>1</v>
      </c>
      <c r="DZ97" t="s">
        <v>3</v>
      </c>
      <c r="EA97" t="s">
        <v>3</v>
      </c>
      <c r="EB97" t="s">
        <v>3</v>
      </c>
      <c r="EC97" t="s">
        <v>3</v>
      </c>
      <c r="EE97">
        <v>50003280</v>
      </c>
      <c r="EF97">
        <v>201</v>
      </c>
      <c r="EG97" t="s">
        <v>210</v>
      </c>
      <c r="EH97">
        <v>0</v>
      </c>
      <c r="EI97" t="s">
        <v>3</v>
      </c>
      <c r="EJ97">
        <v>2</v>
      </c>
      <c r="EK97">
        <v>1618</v>
      </c>
      <c r="EL97" t="s">
        <v>211</v>
      </c>
      <c r="EM97" t="s">
        <v>212</v>
      </c>
      <c r="EO97" t="s">
        <v>3</v>
      </c>
      <c r="EQ97">
        <v>1024</v>
      </c>
      <c r="ER97">
        <v>5.22</v>
      </c>
      <c r="ES97">
        <v>5.3199999999999994</v>
      </c>
      <c r="ET97">
        <v>0</v>
      </c>
      <c r="EU97">
        <v>0</v>
      </c>
      <c r="EV97">
        <v>0</v>
      </c>
      <c r="EW97">
        <v>0</v>
      </c>
      <c r="EX97">
        <v>0</v>
      </c>
      <c r="EY97">
        <v>0</v>
      </c>
      <c r="EZ97">
        <v>5</v>
      </c>
      <c r="FC97">
        <v>0</v>
      </c>
      <c r="FD97">
        <v>18</v>
      </c>
      <c r="FF97">
        <v>50</v>
      </c>
      <c r="FQ97">
        <v>0</v>
      </c>
      <c r="FR97">
        <f t="shared" si="94"/>
        <v>0</v>
      </c>
      <c r="FS97">
        <v>0</v>
      </c>
      <c r="FX97">
        <v>0</v>
      </c>
      <c r="FY97">
        <v>0</v>
      </c>
      <c r="GA97" t="s">
        <v>213</v>
      </c>
      <c r="GD97">
        <v>0</v>
      </c>
      <c r="GF97">
        <v>67693699</v>
      </c>
      <c r="GG97">
        <v>2</v>
      </c>
      <c r="GH97">
        <v>3</v>
      </c>
      <c r="GI97">
        <v>5</v>
      </c>
      <c r="GJ97">
        <v>0</v>
      </c>
      <c r="GK97">
        <f>ROUND(R97*(R12)/100,2)</f>
        <v>0</v>
      </c>
      <c r="GL97">
        <f t="shared" si="95"/>
        <v>0</v>
      </c>
      <c r="GM97">
        <f>ROUND(O97+X97+Y97+GK97,2)+GX97</f>
        <v>51930.65</v>
      </c>
      <c r="GN97">
        <f t="shared" si="96"/>
        <v>0</v>
      </c>
      <c r="GO97">
        <f t="shared" si="97"/>
        <v>51930.65</v>
      </c>
      <c r="GP97">
        <f t="shared" si="98"/>
        <v>0</v>
      </c>
      <c r="GR97">
        <v>1</v>
      </c>
      <c r="GS97">
        <v>1</v>
      </c>
      <c r="GT97">
        <v>0</v>
      </c>
      <c r="GU97" t="s">
        <v>3</v>
      </c>
      <c r="GV97">
        <f t="shared" si="99"/>
        <v>0</v>
      </c>
      <c r="GW97">
        <v>1</v>
      </c>
      <c r="GX97">
        <f t="shared" si="100"/>
        <v>0</v>
      </c>
      <c r="HA97">
        <v>0</v>
      </c>
      <c r="HB97">
        <v>0</v>
      </c>
      <c r="HC97">
        <f t="shared" si="101"/>
        <v>0</v>
      </c>
      <c r="HE97" t="s">
        <v>214</v>
      </c>
      <c r="HF97" t="s">
        <v>32</v>
      </c>
      <c r="HM97" t="s">
        <v>3</v>
      </c>
      <c r="HN97" t="s">
        <v>3</v>
      </c>
      <c r="HO97" t="s">
        <v>3</v>
      </c>
      <c r="HP97" t="s">
        <v>3</v>
      </c>
      <c r="HQ97" t="s">
        <v>3</v>
      </c>
      <c r="IK97">
        <v>0</v>
      </c>
    </row>
    <row r="98" spans="1:245" x14ac:dyDescent="0.2">
      <c r="A98">
        <v>17</v>
      </c>
      <c r="B98">
        <v>1</v>
      </c>
      <c r="E98" t="s">
        <v>215</v>
      </c>
      <c r="F98" t="s">
        <v>198</v>
      </c>
      <c r="G98" t="s">
        <v>216</v>
      </c>
      <c r="H98" t="s">
        <v>200</v>
      </c>
      <c r="I98">
        <f>ROUND(1190/1000,9)</f>
        <v>1.19</v>
      </c>
      <c r="J98">
        <v>0</v>
      </c>
      <c r="K98">
        <f>ROUND(1190/1000,9)</f>
        <v>1.19</v>
      </c>
      <c r="O98">
        <f t="shared" si="73"/>
        <v>150044.78</v>
      </c>
      <c r="P98">
        <f t="shared" si="74"/>
        <v>150044.78</v>
      </c>
      <c r="Q98">
        <f>0</f>
        <v>0</v>
      </c>
      <c r="R98">
        <f t="shared" si="75"/>
        <v>0</v>
      </c>
      <c r="S98">
        <f>0</f>
        <v>0</v>
      </c>
      <c r="T98">
        <f t="shared" si="76"/>
        <v>0</v>
      </c>
      <c r="U98">
        <f t="shared" si="77"/>
        <v>0</v>
      </c>
      <c r="V98">
        <f t="shared" si="78"/>
        <v>0</v>
      </c>
      <c r="W98">
        <f t="shared" si="79"/>
        <v>0</v>
      </c>
      <c r="X98">
        <f t="shared" si="80"/>
        <v>0</v>
      </c>
      <c r="Y98">
        <f t="shared" si="81"/>
        <v>0</v>
      </c>
      <c r="AA98">
        <v>50732134</v>
      </c>
      <c r="AB98">
        <f>ROUND((AC98+0+0),6)</f>
        <v>34735</v>
      </c>
      <c r="AC98">
        <f>ROUND(((ES98*1)),6)</f>
        <v>34735</v>
      </c>
      <c r="AD98">
        <f>ROUND(((((ET98*1.2))-((EU98*1.2)))+AE98),6)</f>
        <v>6060</v>
      </c>
      <c r="AE98">
        <f>ROUND(((EU98*1.2)),6)</f>
        <v>0</v>
      </c>
      <c r="AF98">
        <f>ROUND(((EV98*1.2)),6)</f>
        <v>8071.2</v>
      </c>
      <c r="AG98">
        <f t="shared" si="82"/>
        <v>0</v>
      </c>
      <c r="AH98">
        <f>((EW98*1.2))</f>
        <v>0</v>
      </c>
      <c r="AI98">
        <f>((EX98*1.2))</f>
        <v>0</v>
      </c>
      <c r="AJ98">
        <f t="shared" si="83"/>
        <v>0</v>
      </c>
      <c r="AK98">
        <v>46511</v>
      </c>
      <c r="AL98">
        <v>34735</v>
      </c>
      <c r="AM98">
        <v>5050</v>
      </c>
      <c r="AN98">
        <v>0</v>
      </c>
      <c r="AO98">
        <v>6726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1</v>
      </c>
      <c r="AW98">
        <v>1</v>
      </c>
      <c r="AZ98">
        <v>1</v>
      </c>
      <c r="BA98">
        <v>26.06</v>
      </c>
      <c r="BB98">
        <v>17.12</v>
      </c>
      <c r="BC98">
        <v>3.63</v>
      </c>
      <c r="BD98" t="s">
        <v>3</v>
      </c>
      <c r="BE98" t="s">
        <v>3</v>
      </c>
      <c r="BF98" t="s">
        <v>3</v>
      </c>
      <c r="BG98" t="s">
        <v>3</v>
      </c>
      <c r="BH98">
        <v>0</v>
      </c>
      <c r="BI98">
        <v>2</v>
      </c>
      <c r="BJ98" t="s">
        <v>201</v>
      </c>
      <c r="BM98">
        <v>1114</v>
      </c>
      <c r="BN98">
        <v>0</v>
      </c>
      <c r="BO98" t="s">
        <v>198</v>
      </c>
      <c r="BP98">
        <v>1</v>
      </c>
      <c r="BQ98">
        <v>160</v>
      </c>
      <c r="BR98">
        <v>0</v>
      </c>
      <c r="BS98">
        <v>26.06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0</v>
      </c>
      <c r="CA98">
        <v>0</v>
      </c>
      <c r="CB98" t="s">
        <v>3</v>
      </c>
      <c r="CE98">
        <v>30</v>
      </c>
      <c r="CF98">
        <v>0</v>
      </c>
      <c r="CG98">
        <v>0</v>
      </c>
      <c r="CM98">
        <v>0</v>
      </c>
      <c r="CN98" t="s">
        <v>270</v>
      </c>
      <c r="CO98">
        <v>0</v>
      </c>
      <c r="CP98">
        <f t="shared" si="84"/>
        <v>150044.78</v>
      </c>
      <c r="CQ98">
        <f t="shared" si="85"/>
        <v>126088.05</v>
      </c>
      <c r="CR98">
        <f>(ROUND((ROUND((((ET98*1.2))*AV98*1),2)*BB98),2)+ROUND((ROUND(((AE98-((EU98*1.2)))*AV98*1),2)*BS98),2))</f>
        <v>103747.2</v>
      </c>
      <c r="CS98">
        <f t="shared" si="86"/>
        <v>0</v>
      </c>
      <c r="CT98">
        <f t="shared" si="87"/>
        <v>210335.47</v>
      </c>
      <c r="CU98">
        <f t="shared" si="88"/>
        <v>0</v>
      </c>
      <c r="CV98">
        <f t="shared" si="89"/>
        <v>0</v>
      </c>
      <c r="CW98">
        <f t="shared" si="90"/>
        <v>0</v>
      </c>
      <c r="CX98">
        <f t="shared" si="91"/>
        <v>0</v>
      </c>
      <c r="CY98">
        <f t="shared" si="92"/>
        <v>0</v>
      </c>
      <c r="CZ98">
        <f t="shared" si="93"/>
        <v>0</v>
      </c>
      <c r="DC98" t="s">
        <v>3</v>
      </c>
      <c r="DD98" t="s">
        <v>202</v>
      </c>
      <c r="DE98" t="s">
        <v>203</v>
      </c>
      <c r="DF98" t="s">
        <v>203</v>
      </c>
      <c r="DG98" t="s">
        <v>203</v>
      </c>
      <c r="DH98" t="s">
        <v>3</v>
      </c>
      <c r="DI98" t="s">
        <v>203</v>
      </c>
      <c r="DJ98" t="s">
        <v>203</v>
      </c>
      <c r="DK98" t="s">
        <v>3</v>
      </c>
      <c r="DL98" t="s">
        <v>3</v>
      </c>
      <c r="DM98" t="s">
        <v>3</v>
      </c>
      <c r="DN98">
        <v>0</v>
      </c>
      <c r="DO98">
        <v>0</v>
      </c>
      <c r="DP98">
        <v>1</v>
      </c>
      <c r="DQ98">
        <v>1</v>
      </c>
      <c r="DU98">
        <v>1013</v>
      </c>
      <c r="DV98" t="s">
        <v>200</v>
      </c>
      <c r="DW98" t="s">
        <v>200</v>
      </c>
      <c r="DX98">
        <v>1</v>
      </c>
      <c r="DZ98" t="s">
        <v>3</v>
      </c>
      <c r="EA98" t="s">
        <v>3</v>
      </c>
      <c r="EB98" t="s">
        <v>3</v>
      </c>
      <c r="EC98" t="s">
        <v>3</v>
      </c>
      <c r="EE98">
        <v>50002776</v>
      </c>
      <c r="EF98">
        <v>160</v>
      </c>
      <c r="EG98" t="s">
        <v>204</v>
      </c>
      <c r="EH98">
        <v>0</v>
      </c>
      <c r="EI98" t="s">
        <v>3</v>
      </c>
      <c r="EJ98">
        <v>1</v>
      </c>
      <c r="EK98">
        <v>1114</v>
      </c>
      <c r="EL98" t="s">
        <v>205</v>
      </c>
      <c r="EM98" t="s">
        <v>206</v>
      </c>
      <c r="EO98" t="s">
        <v>207</v>
      </c>
      <c r="EQ98">
        <v>0</v>
      </c>
      <c r="ER98">
        <v>46511</v>
      </c>
      <c r="ES98">
        <v>34735</v>
      </c>
      <c r="ET98">
        <v>5050</v>
      </c>
      <c r="EU98">
        <v>0</v>
      </c>
      <c r="EV98">
        <v>6726</v>
      </c>
      <c r="EW98">
        <v>0</v>
      </c>
      <c r="EX98">
        <v>0</v>
      </c>
      <c r="EY98">
        <v>0</v>
      </c>
      <c r="FQ98">
        <v>0</v>
      </c>
      <c r="FR98">
        <f t="shared" si="94"/>
        <v>0</v>
      </c>
      <c r="FS98">
        <v>0</v>
      </c>
      <c r="FX98">
        <v>0</v>
      </c>
      <c r="FY98">
        <v>0</v>
      </c>
      <c r="GA98" t="s">
        <v>3</v>
      </c>
      <c r="GD98">
        <v>1</v>
      </c>
      <c r="GF98">
        <v>228497399</v>
      </c>
      <c r="GG98">
        <v>2</v>
      </c>
      <c r="GH98">
        <v>1</v>
      </c>
      <c r="GI98">
        <v>2</v>
      </c>
      <c r="GJ98">
        <v>3</v>
      </c>
      <c r="GK98">
        <v>0</v>
      </c>
      <c r="GL98">
        <f t="shared" si="95"/>
        <v>0</v>
      </c>
      <c r="GM98">
        <f>ROUND(P98+GY98+GZ98,2)+GX98</f>
        <v>523803.21</v>
      </c>
      <c r="GN98">
        <f t="shared" si="96"/>
        <v>0</v>
      </c>
      <c r="GO98">
        <f t="shared" si="97"/>
        <v>523803.21</v>
      </c>
      <c r="GP98">
        <f t="shared" si="98"/>
        <v>0</v>
      </c>
      <c r="GR98">
        <v>0</v>
      </c>
      <c r="GS98">
        <v>3</v>
      </c>
      <c r="GT98">
        <v>0</v>
      </c>
      <c r="GU98" t="s">
        <v>3</v>
      </c>
      <c r="GV98">
        <f t="shared" si="99"/>
        <v>0</v>
      </c>
      <c r="GW98">
        <v>1</v>
      </c>
      <c r="GX98">
        <f t="shared" si="100"/>
        <v>0</v>
      </c>
      <c r="GY98">
        <f>(ROUND((ROUND((((ET98*1.2))*AV98*I98),2)*BB98),2)+ROUND((ROUND(((AE98-((EU98*1.2)))*AV98*I98),2)*BS98),2))</f>
        <v>123459.17</v>
      </c>
      <c r="GZ98">
        <f>ROUND((ROUND((AF98*AV98*I98),2)*BA98),2)</f>
        <v>250299.26</v>
      </c>
      <c r="HA98">
        <v>0</v>
      </c>
      <c r="HB98">
        <v>0</v>
      </c>
      <c r="HC98">
        <f t="shared" si="101"/>
        <v>0</v>
      </c>
      <c r="HE98" t="s">
        <v>3</v>
      </c>
      <c r="HF98" t="s">
        <v>3</v>
      </c>
      <c r="HM98" t="s">
        <v>3</v>
      </c>
      <c r="HN98" t="s">
        <v>3</v>
      </c>
      <c r="HO98" t="s">
        <v>3</v>
      </c>
      <c r="HP98" t="s">
        <v>3</v>
      </c>
      <c r="HQ98" t="s">
        <v>3</v>
      </c>
      <c r="IK98">
        <v>0</v>
      </c>
    </row>
    <row r="99" spans="1:245" x14ac:dyDescent="0.2">
      <c r="A99">
        <v>17</v>
      </c>
      <c r="B99">
        <v>1</v>
      </c>
      <c r="E99" t="s">
        <v>3</v>
      </c>
      <c r="F99" t="s">
        <v>208</v>
      </c>
      <c r="G99" t="s">
        <v>209</v>
      </c>
      <c r="H99" t="s">
        <v>42</v>
      </c>
      <c r="I99">
        <f>ROUND(1190*1.02,9)</f>
        <v>1213.8</v>
      </c>
      <c r="J99">
        <v>0</v>
      </c>
      <c r="K99">
        <f>ROUND(1190*1.02,9)</f>
        <v>1213.8</v>
      </c>
      <c r="O99">
        <f t="shared" si="73"/>
        <v>61797.51</v>
      </c>
      <c r="P99">
        <f t="shared" si="74"/>
        <v>61797.51</v>
      </c>
      <c r="Q99">
        <f>(ROUND((ROUND(((ET99)*AV99*I99),2)*BB99),2)+ROUND((ROUND(((AE99-(EU99))*AV99*I99),2)*BS99),2))</f>
        <v>0</v>
      </c>
      <c r="R99">
        <f t="shared" si="75"/>
        <v>0</v>
      </c>
      <c r="S99">
        <f>ROUND((ROUND((AF99*AV99*I99),2)*BA99),2)</f>
        <v>0</v>
      </c>
      <c r="T99">
        <f t="shared" si="76"/>
        <v>0</v>
      </c>
      <c r="U99">
        <f t="shared" si="77"/>
        <v>0</v>
      </c>
      <c r="V99">
        <f t="shared" si="78"/>
        <v>0</v>
      </c>
      <c r="W99">
        <f t="shared" si="79"/>
        <v>0</v>
      </c>
      <c r="X99">
        <f t="shared" si="80"/>
        <v>0</v>
      </c>
      <c r="Y99">
        <f t="shared" si="81"/>
        <v>0</v>
      </c>
      <c r="AA99">
        <v>-1</v>
      </c>
      <c r="AB99">
        <f>ROUND((AC99+AD99+AF99),6)</f>
        <v>5.32</v>
      </c>
      <c r="AC99">
        <f>ROUND((ES99),6)</f>
        <v>5.32</v>
      </c>
      <c r="AD99">
        <f>ROUND((((ET99)-(EU99))+AE99),6)</f>
        <v>0</v>
      </c>
      <c r="AE99">
        <f>ROUND((EU99),6)</f>
        <v>0</v>
      </c>
      <c r="AF99">
        <f>ROUND((EV99),6)</f>
        <v>0</v>
      </c>
      <c r="AG99">
        <f t="shared" si="82"/>
        <v>0</v>
      </c>
      <c r="AH99">
        <f>(EW99)</f>
        <v>0</v>
      </c>
      <c r="AI99">
        <f>(EX99)</f>
        <v>0</v>
      </c>
      <c r="AJ99">
        <f t="shared" si="83"/>
        <v>0</v>
      </c>
      <c r="AK99">
        <v>5.3199999999999994</v>
      </c>
      <c r="AL99">
        <v>5.3199999999999994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1</v>
      </c>
      <c r="AW99">
        <v>1</v>
      </c>
      <c r="AZ99">
        <v>1</v>
      </c>
      <c r="BA99">
        <v>1</v>
      </c>
      <c r="BB99">
        <v>1</v>
      </c>
      <c r="BC99">
        <v>9.57</v>
      </c>
      <c r="BD99" t="s">
        <v>3</v>
      </c>
      <c r="BE99" t="s">
        <v>3</v>
      </c>
      <c r="BF99" t="s">
        <v>3</v>
      </c>
      <c r="BG99" t="s">
        <v>3</v>
      </c>
      <c r="BH99">
        <v>3</v>
      </c>
      <c r="BI99">
        <v>2</v>
      </c>
      <c r="BJ99" t="s">
        <v>3</v>
      </c>
      <c r="BM99">
        <v>1618</v>
      </c>
      <c r="BN99">
        <v>0</v>
      </c>
      <c r="BO99" t="s">
        <v>3</v>
      </c>
      <c r="BP99">
        <v>0</v>
      </c>
      <c r="BQ99">
        <v>201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3</v>
      </c>
      <c r="BZ99">
        <v>0</v>
      </c>
      <c r="CA99">
        <v>0</v>
      </c>
      <c r="CB99" t="s">
        <v>3</v>
      </c>
      <c r="CE99">
        <v>30</v>
      </c>
      <c r="CF99">
        <v>0</v>
      </c>
      <c r="CG99">
        <v>0</v>
      </c>
      <c r="CM99">
        <v>0</v>
      </c>
      <c r="CN99" t="s">
        <v>3</v>
      </c>
      <c r="CO99">
        <v>0</v>
      </c>
      <c r="CP99">
        <f t="shared" si="84"/>
        <v>61797.51</v>
      </c>
      <c r="CQ99">
        <f t="shared" si="85"/>
        <v>50.91</v>
      </c>
      <c r="CR99">
        <f>(ROUND((ROUND(((ET99)*AV99*1),2)*BB99),2)+ROUND((ROUND(((AE99-(EU99))*AV99*1),2)*BS99),2))</f>
        <v>0</v>
      </c>
      <c r="CS99">
        <f t="shared" si="86"/>
        <v>0</v>
      </c>
      <c r="CT99">
        <f t="shared" si="87"/>
        <v>0</v>
      </c>
      <c r="CU99">
        <f t="shared" si="88"/>
        <v>0</v>
      </c>
      <c r="CV99">
        <f t="shared" si="89"/>
        <v>0</v>
      </c>
      <c r="CW99">
        <f t="shared" si="90"/>
        <v>0</v>
      </c>
      <c r="CX99">
        <f t="shared" si="91"/>
        <v>0</v>
      </c>
      <c r="CY99">
        <f t="shared" si="92"/>
        <v>0</v>
      </c>
      <c r="CZ99">
        <f t="shared" si="93"/>
        <v>0</v>
      </c>
      <c r="DC99" t="s">
        <v>3</v>
      </c>
      <c r="DD99" t="s">
        <v>3</v>
      </c>
      <c r="DE99" t="s">
        <v>3</v>
      </c>
      <c r="DF99" t="s">
        <v>3</v>
      </c>
      <c r="DG99" t="s">
        <v>3</v>
      </c>
      <c r="DH99" t="s">
        <v>3</v>
      </c>
      <c r="DI99" t="s">
        <v>3</v>
      </c>
      <c r="DJ99" t="s">
        <v>3</v>
      </c>
      <c r="DK99" t="s">
        <v>3</v>
      </c>
      <c r="DL99" t="s">
        <v>3</v>
      </c>
      <c r="DM99" t="s">
        <v>3</v>
      </c>
      <c r="DN99">
        <v>0</v>
      </c>
      <c r="DO99">
        <v>0</v>
      </c>
      <c r="DP99">
        <v>1</v>
      </c>
      <c r="DQ99">
        <v>1</v>
      </c>
      <c r="DU99">
        <v>1003</v>
      </c>
      <c r="DV99" t="s">
        <v>42</v>
      </c>
      <c r="DW99" t="s">
        <v>42</v>
      </c>
      <c r="DX99">
        <v>1</v>
      </c>
      <c r="DZ99" t="s">
        <v>3</v>
      </c>
      <c r="EA99" t="s">
        <v>3</v>
      </c>
      <c r="EB99" t="s">
        <v>3</v>
      </c>
      <c r="EC99" t="s">
        <v>3</v>
      </c>
      <c r="EE99">
        <v>50003280</v>
      </c>
      <c r="EF99">
        <v>201</v>
      </c>
      <c r="EG99" t="s">
        <v>210</v>
      </c>
      <c r="EH99">
        <v>0</v>
      </c>
      <c r="EI99" t="s">
        <v>3</v>
      </c>
      <c r="EJ99">
        <v>2</v>
      </c>
      <c r="EK99">
        <v>1618</v>
      </c>
      <c r="EL99" t="s">
        <v>211</v>
      </c>
      <c r="EM99" t="s">
        <v>212</v>
      </c>
      <c r="EO99" t="s">
        <v>3</v>
      </c>
      <c r="EQ99">
        <v>1024</v>
      </c>
      <c r="ER99">
        <v>5.22</v>
      </c>
      <c r="ES99">
        <v>5.3199999999999994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EZ99">
        <v>5</v>
      </c>
      <c r="FC99">
        <v>0</v>
      </c>
      <c r="FD99">
        <v>18</v>
      </c>
      <c r="FF99">
        <v>50</v>
      </c>
      <c r="FQ99">
        <v>0</v>
      </c>
      <c r="FR99">
        <f t="shared" si="94"/>
        <v>0</v>
      </c>
      <c r="FS99">
        <v>0</v>
      </c>
      <c r="FX99">
        <v>0</v>
      </c>
      <c r="FY99">
        <v>0</v>
      </c>
      <c r="GA99" t="s">
        <v>213</v>
      </c>
      <c r="GD99">
        <v>0</v>
      </c>
      <c r="GF99">
        <v>67693699</v>
      </c>
      <c r="GG99">
        <v>2</v>
      </c>
      <c r="GH99">
        <v>3</v>
      </c>
      <c r="GI99">
        <v>5</v>
      </c>
      <c r="GJ99">
        <v>0</v>
      </c>
      <c r="GK99">
        <f>ROUND(R99*(R12)/100,2)</f>
        <v>0</v>
      </c>
      <c r="GL99">
        <f t="shared" si="95"/>
        <v>0</v>
      </c>
      <c r="GM99">
        <f>ROUND(O99+X99+Y99+GK99,2)+GX99</f>
        <v>61797.51</v>
      </c>
      <c r="GN99">
        <f t="shared" si="96"/>
        <v>0</v>
      </c>
      <c r="GO99">
        <f t="shared" si="97"/>
        <v>61797.51</v>
      </c>
      <c r="GP99">
        <f t="shared" si="98"/>
        <v>0</v>
      </c>
      <c r="GR99">
        <v>1</v>
      </c>
      <c r="GS99">
        <v>1</v>
      </c>
      <c r="GT99">
        <v>0</v>
      </c>
      <c r="GU99" t="s">
        <v>3</v>
      </c>
      <c r="GV99">
        <f t="shared" si="99"/>
        <v>0</v>
      </c>
      <c r="GW99">
        <v>1</v>
      </c>
      <c r="GX99">
        <f t="shared" si="100"/>
        <v>0</v>
      </c>
      <c r="HA99">
        <v>0</v>
      </c>
      <c r="HB99">
        <v>0</v>
      </c>
      <c r="HC99">
        <f t="shared" si="101"/>
        <v>0</v>
      </c>
      <c r="HE99" t="s">
        <v>214</v>
      </c>
      <c r="HF99" t="s">
        <v>32</v>
      </c>
      <c r="HM99" t="s">
        <v>3</v>
      </c>
      <c r="HN99" t="s">
        <v>3</v>
      </c>
      <c r="HO99" t="s">
        <v>3</v>
      </c>
      <c r="HP99" t="s">
        <v>3</v>
      </c>
      <c r="HQ99" t="s">
        <v>3</v>
      </c>
      <c r="IK99">
        <v>0</v>
      </c>
    </row>
    <row r="100" spans="1:245" x14ac:dyDescent="0.2">
      <c r="A100">
        <v>17</v>
      </c>
      <c r="B100">
        <v>1</v>
      </c>
      <c r="E100" t="s">
        <v>217</v>
      </c>
      <c r="F100" t="s">
        <v>198</v>
      </c>
      <c r="G100" t="s">
        <v>218</v>
      </c>
      <c r="H100" t="s">
        <v>200</v>
      </c>
      <c r="I100">
        <f>ROUND(140/1000,9)</f>
        <v>0.14000000000000001</v>
      </c>
      <c r="J100">
        <v>0</v>
      </c>
      <c r="K100">
        <f>ROUND(140/1000,9)</f>
        <v>0.14000000000000001</v>
      </c>
      <c r="O100">
        <f t="shared" si="73"/>
        <v>17652.330000000002</v>
      </c>
      <c r="P100">
        <f t="shared" si="74"/>
        <v>17652.330000000002</v>
      </c>
      <c r="Q100">
        <f>0</f>
        <v>0</v>
      </c>
      <c r="R100">
        <f t="shared" si="75"/>
        <v>0</v>
      </c>
      <c r="S100">
        <f>0</f>
        <v>0</v>
      </c>
      <c r="T100">
        <f t="shared" si="76"/>
        <v>0</v>
      </c>
      <c r="U100">
        <f t="shared" si="77"/>
        <v>0</v>
      </c>
      <c r="V100">
        <f t="shared" si="78"/>
        <v>0</v>
      </c>
      <c r="W100">
        <f t="shared" si="79"/>
        <v>0</v>
      </c>
      <c r="X100">
        <f t="shared" si="80"/>
        <v>0</v>
      </c>
      <c r="Y100">
        <f t="shared" si="81"/>
        <v>0</v>
      </c>
      <c r="AA100">
        <v>50732134</v>
      </c>
      <c r="AB100">
        <f>ROUND((AC100+0+0),6)</f>
        <v>34735</v>
      </c>
      <c r="AC100">
        <f>ROUND(((ES100*1)),6)</f>
        <v>34735</v>
      </c>
      <c r="AD100">
        <f>ROUND(((((ET100*1.2))-((EU100*1.2)))+AE100),6)</f>
        <v>6060</v>
      </c>
      <c r="AE100">
        <f>ROUND(((EU100*1.2)),6)</f>
        <v>0</v>
      </c>
      <c r="AF100">
        <f>ROUND(((EV100*1.2)),6)</f>
        <v>8071.2</v>
      </c>
      <c r="AG100">
        <f t="shared" si="82"/>
        <v>0</v>
      </c>
      <c r="AH100">
        <f>((EW100*1.2))</f>
        <v>0</v>
      </c>
      <c r="AI100">
        <f>((EX100*1.2))</f>
        <v>0</v>
      </c>
      <c r="AJ100">
        <f t="shared" si="83"/>
        <v>0</v>
      </c>
      <c r="AK100">
        <v>46511</v>
      </c>
      <c r="AL100">
        <v>34735</v>
      </c>
      <c r="AM100">
        <v>5050</v>
      </c>
      <c r="AN100">
        <v>0</v>
      </c>
      <c r="AO100">
        <v>6726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1</v>
      </c>
      <c r="AW100">
        <v>1</v>
      </c>
      <c r="AZ100">
        <v>1</v>
      </c>
      <c r="BA100">
        <v>26.06</v>
      </c>
      <c r="BB100">
        <v>17.12</v>
      </c>
      <c r="BC100">
        <v>3.63</v>
      </c>
      <c r="BD100" t="s">
        <v>3</v>
      </c>
      <c r="BE100" t="s">
        <v>3</v>
      </c>
      <c r="BF100" t="s">
        <v>3</v>
      </c>
      <c r="BG100" t="s">
        <v>3</v>
      </c>
      <c r="BH100">
        <v>0</v>
      </c>
      <c r="BI100">
        <v>2</v>
      </c>
      <c r="BJ100" t="s">
        <v>201</v>
      </c>
      <c r="BM100">
        <v>1114</v>
      </c>
      <c r="BN100">
        <v>0</v>
      </c>
      <c r="BO100" t="s">
        <v>198</v>
      </c>
      <c r="BP100">
        <v>1</v>
      </c>
      <c r="BQ100">
        <v>160</v>
      </c>
      <c r="BR100">
        <v>0</v>
      </c>
      <c r="BS100">
        <v>26.06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0</v>
      </c>
      <c r="CA100">
        <v>0</v>
      </c>
      <c r="CB100" t="s">
        <v>3</v>
      </c>
      <c r="CE100">
        <v>30</v>
      </c>
      <c r="CF100">
        <v>0</v>
      </c>
      <c r="CG100">
        <v>0</v>
      </c>
      <c r="CM100">
        <v>0</v>
      </c>
      <c r="CN100" t="s">
        <v>270</v>
      </c>
      <c r="CO100">
        <v>0</v>
      </c>
      <c r="CP100">
        <f t="shared" si="84"/>
        <v>17652.330000000002</v>
      </c>
      <c r="CQ100">
        <f t="shared" si="85"/>
        <v>126088.05</v>
      </c>
      <c r="CR100">
        <f>(ROUND((ROUND((((ET100*1.2))*AV100*1),2)*BB100),2)+ROUND((ROUND(((AE100-((EU100*1.2)))*AV100*1),2)*BS100),2))</f>
        <v>103747.2</v>
      </c>
      <c r="CS100">
        <f t="shared" si="86"/>
        <v>0</v>
      </c>
      <c r="CT100">
        <f t="shared" si="87"/>
        <v>210335.47</v>
      </c>
      <c r="CU100">
        <f t="shared" si="88"/>
        <v>0</v>
      </c>
      <c r="CV100">
        <f t="shared" si="89"/>
        <v>0</v>
      </c>
      <c r="CW100">
        <f t="shared" si="90"/>
        <v>0</v>
      </c>
      <c r="CX100">
        <f t="shared" si="91"/>
        <v>0</v>
      </c>
      <c r="CY100">
        <f t="shared" si="92"/>
        <v>0</v>
      </c>
      <c r="CZ100">
        <f t="shared" si="93"/>
        <v>0</v>
      </c>
      <c r="DC100" t="s">
        <v>3</v>
      </c>
      <c r="DD100" t="s">
        <v>202</v>
      </c>
      <c r="DE100" t="s">
        <v>203</v>
      </c>
      <c r="DF100" t="s">
        <v>203</v>
      </c>
      <c r="DG100" t="s">
        <v>203</v>
      </c>
      <c r="DH100" t="s">
        <v>3</v>
      </c>
      <c r="DI100" t="s">
        <v>203</v>
      </c>
      <c r="DJ100" t="s">
        <v>203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1013</v>
      </c>
      <c r="DV100" t="s">
        <v>200</v>
      </c>
      <c r="DW100" t="s">
        <v>200</v>
      </c>
      <c r="DX100">
        <v>1</v>
      </c>
      <c r="DZ100" t="s">
        <v>3</v>
      </c>
      <c r="EA100" t="s">
        <v>3</v>
      </c>
      <c r="EB100" t="s">
        <v>3</v>
      </c>
      <c r="EC100" t="s">
        <v>3</v>
      </c>
      <c r="EE100">
        <v>50002776</v>
      </c>
      <c r="EF100">
        <v>160</v>
      </c>
      <c r="EG100" t="s">
        <v>204</v>
      </c>
      <c r="EH100">
        <v>0</v>
      </c>
      <c r="EI100" t="s">
        <v>3</v>
      </c>
      <c r="EJ100">
        <v>1</v>
      </c>
      <c r="EK100">
        <v>1114</v>
      </c>
      <c r="EL100" t="s">
        <v>205</v>
      </c>
      <c r="EM100" t="s">
        <v>206</v>
      </c>
      <c r="EO100" t="s">
        <v>207</v>
      </c>
      <c r="EQ100">
        <v>0</v>
      </c>
      <c r="ER100">
        <v>46511</v>
      </c>
      <c r="ES100">
        <v>34735</v>
      </c>
      <c r="ET100">
        <v>5050</v>
      </c>
      <c r="EU100">
        <v>0</v>
      </c>
      <c r="EV100">
        <v>6726</v>
      </c>
      <c r="EW100">
        <v>0</v>
      </c>
      <c r="EX100">
        <v>0</v>
      </c>
      <c r="EY100">
        <v>0</v>
      </c>
      <c r="FQ100">
        <v>0</v>
      </c>
      <c r="FR100">
        <f t="shared" si="94"/>
        <v>0</v>
      </c>
      <c r="FS100">
        <v>0</v>
      </c>
      <c r="FX100">
        <v>0</v>
      </c>
      <c r="FY100">
        <v>0</v>
      </c>
      <c r="GA100" t="s">
        <v>3</v>
      </c>
      <c r="GD100">
        <v>1</v>
      </c>
      <c r="GF100">
        <v>-1025331771</v>
      </c>
      <c r="GG100">
        <v>2</v>
      </c>
      <c r="GH100">
        <v>1</v>
      </c>
      <c r="GI100">
        <v>2</v>
      </c>
      <c r="GJ100">
        <v>3</v>
      </c>
      <c r="GK100">
        <v>0</v>
      </c>
      <c r="GL100">
        <f t="shared" si="95"/>
        <v>0</v>
      </c>
      <c r="GM100">
        <f>ROUND(P100+GY100+GZ100,2)+GX100</f>
        <v>61623.96</v>
      </c>
      <c r="GN100">
        <f t="shared" si="96"/>
        <v>0</v>
      </c>
      <c r="GO100">
        <f t="shared" si="97"/>
        <v>61623.96</v>
      </c>
      <c r="GP100">
        <f t="shared" si="98"/>
        <v>0</v>
      </c>
      <c r="GR100">
        <v>0</v>
      </c>
      <c r="GS100">
        <v>3</v>
      </c>
      <c r="GT100">
        <v>0</v>
      </c>
      <c r="GU100" t="s">
        <v>3</v>
      </c>
      <c r="GV100">
        <f t="shared" si="99"/>
        <v>0</v>
      </c>
      <c r="GW100">
        <v>1</v>
      </c>
      <c r="GX100">
        <f t="shared" si="100"/>
        <v>0</v>
      </c>
      <c r="GY100">
        <f>(ROUND((ROUND((((ET100*1.2))*AV100*I100),2)*BB100),2)+ROUND((ROUND(((AE100-((EU100*1.2)))*AV100*I100),2)*BS100),2))</f>
        <v>14524.61</v>
      </c>
      <c r="GZ100">
        <f>ROUND((ROUND((AF100*AV100*I100),2)*BA100),2)</f>
        <v>29447.02</v>
      </c>
      <c r="HA100">
        <v>0</v>
      </c>
      <c r="HB100">
        <v>0</v>
      </c>
      <c r="HC100">
        <f t="shared" si="101"/>
        <v>0</v>
      </c>
      <c r="HE100" t="s">
        <v>3</v>
      </c>
      <c r="HF100" t="s">
        <v>3</v>
      </c>
      <c r="HM100" t="s">
        <v>3</v>
      </c>
      <c r="HN100" t="s">
        <v>3</v>
      </c>
      <c r="HO100" t="s">
        <v>3</v>
      </c>
      <c r="HP100" t="s">
        <v>3</v>
      </c>
      <c r="HQ100" t="s">
        <v>3</v>
      </c>
      <c r="IK100">
        <v>0</v>
      </c>
    </row>
    <row r="101" spans="1:245" x14ac:dyDescent="0.2">
      <c r="A101">
        <v>17</v>
      </c>
      <c r="B101">
        <v>1</v>
      </c>
      <c r="E101" t="s">
        <v>3</v>
      </c>
      <c r="F101" t="s">
        <v>208</v>
      </c>
      <c r="G101" t="s">
        <v>209</v>
      </c>
      <c r="H101" t="s">
        <v>42</v>
      </c>
      <c r="I101">
        <f>ROUND(140*1.02,9)</f>
        <v>142.80000000000001</v>
      </c>
      <c r="J101">
        <v>0</v>
      </c>
      <c r="K101">
        <f>ROUND(140*1.02,9)</f>
        <v>142.80000000000001</v>
      </c>
      <c r="O101">
        <f t="shared" si="73"/>
        <v>7270.33</v>
      </c>
      <c r="P101">
        <f t="shared" si="74"/>
        <v>7270.33</v>
      </c>
      <c r="Q101">
        <f>(ROUND((ROUND(((ET101)*AV101*I101),2)*BB101),2)+ROUND((ROUND(((AE101-(EU101))*AV101*I101),2)*BS101),2))</f>
        <v>0</v>
      </c>
      <c r="R101">
        <f t="shared" si="75"/>
        <v>0</v>
      </c>
      <c r="S101">
        <f t="shared" ref="S101:S109" si="102">ROUND((ROUND((AF101*AV101*I101),2)*BA101),2)</f>
        <v>0</v>
      </c>
      <c r="T101">
        <f t="shared" si="76"/>
        <v>0</v>
      </c>
      <c r="U101">
        <f t="shared" si="77"/>
        <v>0</v>
      </c>
      <c r="V101">
        <f t="shared" si="78"/>
        <v>0</v>
      </c>
      <c r="W101">
        <f t="shared" si="79"/>
        <v>0</v>
      </c>
      <c r="X101">
        <f t="shared" si="80"/>
        <v>0</v>
      </c>
      <c r="Y101">
        <f t="shared" si="81"/>
        <v>0</v>
      </c>
      <c r="AA101">
        <v>-1</v>
      </c>
      <c r="AB101">
        <f t="shared" ref="AB101:AB109" si="103">ROUND((AC101+AD101+AF101),6)</f>
        <v>5.32</v>
      </c>
      <c r="AC101">
        <f>ROUND((ES101),6)</f>
        <v>5.32</v>
      </c>
      <c r="AD101">
        <f>ROUND((((ET101)-(EU101))+AE101),6)</f>
        <v>0</v>
      </c>
      <c r="AE101">
        <f>ROUND((EU101),6)</f>
        <v>0</v>
      </c>
      <c r="AF101">
        <f>ROUND((EV101),6)</f>
        <v>0</v>
      </c>
      <c r="AG101">
        <f t="shared" si="82"/>
        <v>0</v>
      </c>
      <c r="AH101">
        <f>(EW101)</f>
        <v>0</v>
      </c>
      <c r="AI101">
        <f>(EX101)</f>
        <v>0</v>
      </c>
      <c r="AJ101">
        <f t="shared" si="83"/>
        <v>0</v>
      </c>
      <c r="AK101">
        <v>5.3199999999999994</v>
      </c>
      <c r="AL101">
        <v>5.3199999999999994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9.57</v>
      </c>
      <c r="BD101" t="s">
        <v>3</v>
      </c>
      <c r="BE101" t="s">
        <v>3</v>
      </c>
      <c r="BF101" t="s">
        <v>3</v>
      </c>
      <c r="BG101" t="s">
        <v>3</v>
      </c>
      <c r="BH101">
        <v>3</v>
      </c>
      <c r="BI101">
        <v>2</v>
      </c>
      <c r="BJ101" t="s">
        <v>3</v>
      </c>
      <c r="BM101">
        <v>1618</v>
      </c>
      <c r="BN101">
        <v>0</v>
      </c>
      <c r="BO101" t="s">
        <v>3</v>
      </c>
      <c r="BP101">
        <v>0</v>
      </c>
      <c r="BQ101">
        <v>201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0</v>
      </c>
      <c r="CA101">
        <v>0</v>
      </c>
      <c r="CB101" t="s">
        <v>3</v>
      </c>
      <c r="CE101">
        <v>30</v>
      </c>
      <c r="CF101">
        <v>0</v>
      </c>
      <c r="CG101">
        <v>0</v>
      </c>
      <c r="CM101">
        <v>0</v>
      </c>
      <c r="CN101" t="s">
        <v>3</v>
      </c>
      <c r="CO101">
        <v>0</v>
      </c>
      <c r="CP101">
        <f t="shared" si="84"/>
        <v>7270.33</v>
      </c>
      <c r="CQ101">
        <f t="shared" si="85"/>
        <v>50.91</v>
      </c>
      <c r="CR101">
        <f>(ROUND((ROUND(((ET101)*AV101*1),2)*BB101),2)+ROUND((ROUND(((AE101-(EU101))*AV101*1),2)*BS101),2))</f>
        <v>0</v>
      </c>
      <c r="CS101">
        <f t="shared" si="86"/>
        <v>0</v>
      </c>
      <c r="CT101">
        <f t="shared" si="87"/>
        <v>0</v>
      </c>
      <c r="CU101">
        <f t="shared" si="88"/>
        <v>0</v>
      </c>
      <c r="CV101">
        <f t="shared" si="89"/>
        <v>0</v>
      </c>
      <c r="CW101">
        <f t="shared" si="90"/>
        <v>0</v>
      </c>
      <c r="CX101">
        <f t="shared" si="91"/>
        <v>0</v>
      </c>
      <c r="CY101">
        <f t="shared" si="92"/>
        <v>0</v>
      </c>
      <c r="CZ101">
        <f t="shared" si="93"/>
        <v>0</v>
      </c>
      <c r="DC101" t="s">
        <v>3</v>
      </c>
      <c r="DD101" t="s">
        <v>3</v>
      </c>
      <c r="DE101" t="s">
        <v>3</v>
      </c>
      <c r="DF101" t="s">
        <v>3</v>
      </c>
      <c r="DG101" t="s">
        <v>3</v>
      </c>
      <c r="DH101" t="s">
        <v>3</v>
      </c>
      <c r="DI101" t="s">
        <v>3</v>
      </c>
      <c r="DJ101" t="s">
        <v>3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1003</v>
      </c>
      <c r="DV101" t="s">
        <v>42</v>
      </c>
      <c r="DW101" t="s">
        <v>42</v>
      </c>
      <c r="DX101">
        <v>1</v>
      </c>
      <c r="DZ101" t="s">
        <v>3</v>
      </c>
      <c r="EA101" t="s">
        <v>3</v>
      </c>
      <c r="EB101" t="s">
        <v>3</v>
      </c>
      <c r="EC101" t="s">
        <v>3</v>
      </c>
      <c r="EE101">
        <v>50003280</v>
      </c>
      <c r="EF101">
        <v>201</v>
      </c>
      <c r="EG101" t="s">
        <v>210</v>
      </c>
      <c r="EH101">
        <v>0</v>
      </c>
      <c r="EI101" t="s">
        <v>3</v>
      </c>
      <c r="EJ101">
        <v>2</v>
      </c>
      <c r="EK101">
        <v>1618</v>
      </c>
      <c r="EL101" t="s">
        <v>211</v>
      </c>
      <c r="EM101" t="s">
        <v>212</v>
      </c>
      <c r="EO101" t="s">
        <v>3</v>
      </c>
      <c r="EQ101">
        <v>1024</v>
      </c>
      <c r="ER101">
        <v>5.22</v>
      </c>
      <c r="ES101">
        <v>5.3199999999999994</v>
      </c>
      <c r="ET101">
        <v>0</v>
      </c>
      <c r="EU101">
        <v>0</v>
      </c>
      <c r="EV101">
        <v>0</v>
      </c>
      <c r="EW101">
        <v>0</v>
      </c>
      <c r="EX101">
        <v>0</v>
      </c>
      <c r="EY101">
        <v>0</v>
      </c>
      <c r="EZ101">
        <v>5</v>
      </c>
      <c r="FC101">
        <v>0</v>
      </c>
      <c r="FD101">
        <v>18</v>
      </c>
      <c r="FF101">
        <v>50</v>
      </c>
      <c r="FQ101">
        <v>0</v>
      </c>
      <c r="FR101">
        <f t="shared" si="94"/>
        <v>0</v>
      </c>
      <c r="FS101">
        <v>0</v>
      </c>
      <c r="FX101">
        <v>0</v>
      </c>
      <c r="FY101">
        <v>0</v>
      </c>
      <c r="GA101" t="s">
        <v>213</v>
      </c>
      <c r="GD101">
        <v>0</v>
      </c>
      <c r="GF101">
        <v>67693699</v>
      </c>
      <c r="GG101">
        <v>2</v>
      </c>
      <c r="GH101">
        <v>3</v>
      </c>
      <c r="GI101">
        <v>5</v>
      </c>
      <c r="GJ101">
        <v>0</v>
      </c>
      <c r="GK101">
        <f>ROUND(R101*(R12)/100,2)</f>
        <v>0</v>
      </c>
      <c r="GL101">
        <f t="shared" si="95"/>
        <v>0</v>
      </c>
      <c r="GM101">
        <f t="shared" ref="GM101:GM109" si="104">ROUND(O101+X101+Y101+GK101,2)+GX101</f>
        <v>7270.33</v>
      </c>
      <c r="GN101">
        <f t="shared" si="96"/>
        <v>0</v>
      </c>
      <c r="GO101">
        <f t="shared" si="97"/>
        <v>7270.33</v>
      </c>
      <c r="GP101">
        <f t="shared" si="98"/>
        <v>0</v>
      </c>
      <c r="GR101">
        <v>1</v>
      </c>
      <c r="GS101">
        <v>1</v>
      </c>
      <c r="GT101">
        <v>0</v>
      </c>
      <c r="GU101" t="s">
        <v>3</v>
      </c>
      <c r="GV101">
        <f t="shared" si="99"/>
        <v>0</v>
      </c>
      <c r="GW101">
        <v>1</v>
      </c>
      <c r="GX101">
        <f t="shared" si="100"/>
        <v>0</v>
      </c>
      <c r="HA101">
        <v>0</v>
      </c>
      <c r="HB101">
        <v>0</v>
      </c>
      <c r="HC101">
        <f t="shared" si="101"/>
        <v>0</v>
      </c>
      <c r="HE101" t="s">
        <v>214</v>
      </c>
      <c r="HF101" t="s">
        <v>32</v>
      </c>
      <c r="HM101" t="s">
        <v>3</v>
      </c>
      <c r="HN101" t="s">
        <v>3</v>
      </c>
      <c r="HO101" t="s">
        <v>3</v>
      </c>
      <c r="HP101" t="s">
        <v>3</v>
      </c>
      <c r="HQ101" t="s">
        <v>3</v>
      </c>
      <c r="IK101">
        <v>0</v>
      </c>
    </row>
    <row r="102" spans="1:245" x14ac:dyDescent="0.2">
      <c r="A102">
        <v>17</v>
      </c>
      <c r="B102">
        <v>1</v>
      </c>
      <c r="E102" t="s">
        <v>219</v>
      </c>
      <c r="F102" t="s">
        <v>220</v>
      </c>
      <c r="G102" t="s">
        <v>221</v>
      </c>
      <c r="H102" t="s">
        <v>222</v>
      </c>
      <c r="I102">
        <v>4</v>
      </c>
      <c r="J102">
        <v>0</v>
      </c>
      <c r="K102">
        <v>4</v>
      </c>
      <c r="O102">
        <f t="shared" si="73"/>
        <v>42241.73</v>
      </c>
      <c r="P102">
        <f t="shared" si="74"/>
        <v>343.42</v>
      </c>
      <c r="Q102">
        <f>(ROUND((ROUND(((((ET102*1.2)*1.1))*AV102*I102),2)*BB102),2)+ROUND((ROUND(((AE102-(((EU102*1.2)*1.1)))*AV102*I102),2)*BS102),2))</f>
        <v>1118.81</v>
      </c>
      <c r="R102">
        <f t="shared" si="75"/>
        <v>1.83</v>
      </c>
      <c r="S102">
        <f t="shared" si="102"/>
        <v>40779.5</v>
      </c>
      <c r="T102">
        <f t="shared" si="76"/>
        <v>0</v>
      </c>
      <c r="U102">
        <f t="shared" si="77"/>
        <v>68.281171200000003</v>
      </c>
      <c r="V102">
        <f t="shared" si="78"/>
        <v>0</v>
      </c>
      <c r="W102">
        <f t="shared" si="79"/>
        <v>0</v>
      </c>
      <c r="X102">
        <f t="shared" si="80"/>
        <v>37517.14</v>
      </c>
      <c r="Y102">
        <f t="shared" si="81"/>
        <v>16719.599999999999</v>
      </c>
      <c r="AA102">
        <v>50732134</v>
      </c>
      <c r="AB102">
        <f t="shared" si="103"/>
        <v>350.40800000000002</v>
      </c>
      <c r="AC102">
        <f>ROUND((((ES102*1)*1)),6)</f>
        <v>5.69</v>
      </c>
      <c r="AD102">
        <f>ROUND((((((ET102*1.2)*1.1))-(((EU102*1.2)*1.1)))+AE102),6)</f>
        <v>31.244399999999999</v>
      </c>
      <c r="AE102">
        <f>ROUND((((EU102*1.2)*1.1)),6)</f>
        <v>1.32E-2</v>
      </c>
      <c r="AF102">
        <f>ROUND((((EV102*1.2)*1.1)),6)</f>
        <v>313.47359999999998</v>
      </c>
      <c r="AG102">
        <f t="shared" si="82"/>
        <v>0</v>
      </c>
      <c r="AH102">
        <f>(((EW102*1.2)*1.1))</f>
        <v>15.9984</v>
      </c>
      <c r="AI102">
        <f>(((EX102*1.2)*1.1))</f>
        <v>0</v>
      </c>
      <c r="AJ102">
        <f t="shared" si="83"/>
        <v>0</v>
      </c>
      <c r="AK102">
        <v>266.83999999999997</v>
      </c>
      <c r="AL102">
        <v>5.69</v>
      </c>
      <c r="AM102">
        <v>23.67</v>
      </c>
      <c r="AN102">
        <v>0.01</v>
      </c>
      <c r="AO102">
        <v>237.48</v>
      </c>
      <c r="AP102">
        <v>0</v>
      </c>
      <c r="AQ102">
        <v>12.12</v>
      </c>
      <c r="AR102">
        <v>0</v>
      </c>
      <c r="AS102">
        <v>0</v>
      </c>
      <c r="AT102">
        <v>92</v>
      </c>
      <c r="AU102">
        <v>41</v>
      </c>
      <c r="AV102">
        <v>1.0669999999999999</v>
      </c>
      <c r="AW102">
        <v>1.081</v>
      </c>
      <c r="AZ102">
        <v>1</v>
      </c>
      <c r="BA102">
        <v>30.48</v>
      </c>
      <c r="BB102">
        <v>8.39</v>
      </c>
      <c r="BC102">
        <v>13.96</v>
      </c>
      <c r="BD102" t="s">
        <v>3</v>
      </c>
      <c r="BE102" t="s">
        <v>3</v>
      </c>
      <c r="BF102" t="s">
        <v>3</v>
      </c>
      <c r="BG102" t="s">
        <v>3</v>
      </c>
      <c r="BH102">
        <v>0</v>
      </c>
      <c r="BI102">
        <v>2</v>
      </c>
      <c r="BJ102" t="s">
        <v>223</v>
      </c>
      <c r="BM102">
        <v>1823</v>
      </c>
      <c r="BN102">
        <v>0</v>
      </c>
      <c r="BO102" t="s">
        <v>220</v>
      </c>
      <c r="BP102">
        <v>1</v>
      </c>
      <c r="BQ102">
        <v>40</v>
      </c>
      <c r="BR102">
        <v>0</v>
      </c>
      <c r="BS102">
        <v>30.48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92</v>
      </c>
      <c r="CA102">
        <v>41</v>
      </c>
      <c r="CB102" t="s">
        <v>3</v>
      </c>
      <c r="CE102">
        <v>30</v>
      </c>
      <c r="CF102">
        <v>0</v>
      </c>
      <c r="CG102">
        <v>0</v>
      </c>
      <c r="CM102">
        <v>0</v>
      </c>
      <c r="CN102" t="s">
        <v>265</v>
      </c>
      <c r="CO102">
        <v>0</v>
      </c>
      <c r="CP102">
        <f t="shared" si="84"/>
        <v>42241.73</v>
      </c>
      <c r="CQ102">
        <f t="shared" si="85"/>
        <v>85.85</v>
      </c>
      <c r="CR102">
        <f>(ROUND((ROUND(((((ET102*1.2)*1.1))*AV102*1),2)*BB102),2)+ROUND((ROUND(((AE102-(((EU102*1.2)*1.1)))*AV102*1),2)*BS102),2))</f>
        <v>279.72000000000003</v>
      </c>
      <c r="CS102">
        <f t="shared" si="86"/>
        <v>0.3</v>
      </c>
      <c r="CT102">
        <f t="shared" si="87"/>
        <v>10194.950000000001</v>
      </c>
      <c r="CU102">
        <f t="shared" si="88"/>
        <v>0</v>
      </c>
      <c r="CV102">
        <f t="shared" si="89"/>
        <v>17.070292800000001</v>
      </c>
      <c r="CW102">
        <f t="shared" si="90"/>
        <v>0</v>
      </c>
      <c r="CX102">
        <f t="shared" si="91"/>
        <v>0</v>
      </c>
      <c r="CY102">
        <f t="shared" si="92"/>
        <v>37517.14</v>
      </c>
      <c r="CZ102">
        <f t="shared" si="93"/>
        <v>16719.594999999998</v>
      </c>
      <c r="DC102" t="s">
        <v>3</v>
      </c>
      <c r="DD102" t="s">
        <v>26</v>
      </c>
      <c r="DE102" t="s">
        <v>27</v>
      </c>
      <c r="DF102" t="s">
        <v>27</v>
      </c>
      <c r="DG102" t="s">
        <v>27</v>
      </c>
      <c r="DH102" t="s">
        <v>3</v>
      </c>
      <c r="DI102" t="s">
        <v>27</v>
      </c>
      <c r="DJ102" t="s">
        <v>27</v>
      </c>
      <c r="DK102" t="s">
        <v>3</v>
      </c>
      <c r="DL102" t="s">
        <v>3</v>
      </c>
      <c r="DM102" t="s">
        <v>3</v>
      </c>
      <c r="DN102">
        <v>112</v>
      </c>
      <c r="DO102">
        <v>70</v>
      </c>
      <c r="DP102">
        <v>1.0669999999999999</v>
      </c>
      <c r="DQ102">
        <v>1.081</v>
      </c>
      <c r="DU102">
        <v>30517203</v>
      </c>
      <c r="DV102" t="s">
        <v>222</v>
      </c>
      <c r="DW102" t="s">
        <v>222</v>
      </c>
      <c r="DX102">
        <v>1</v>
      </c>
      <c r="DZ102" t="s">
        <v>3</v>
      </c>
      <c r="EA102" t="s">
        <v>3</v>
      </c>
      <c r="EB102" t="s">
        <v>3</v>
      </c>
      <c r="EC102" t="s">
        <v>3</v>
      </c>
      <c r="EE102">
        <v>50003486</v>
      </c>
      <c r="EF102">
        <v>40</v>
      </c>
      <c r="EG102" t="s">
        <v>83</v>
      </c>
      <c r="EH102">
        <v>0</v>
      </c>
      <c r="EI102" t="s">
        <v>3</v>
      </c>
      <c r="EJ102">
        <v>2</v>
      </c>
      <c r="EK102">
        <v>1823</v>
      </c>
      <c r="EL102" t="s">
        <v>224</v>
      </c>
      <c r="EM102" t="s">
        <v>225</v>
      </c>
      <c r="EO102" t="s">
        <v>31</v>
      </c>
      <c r="EQ102">
        <v>0</v>
      </c>
      <c r="ER102">
        <v>266.83999999999997</v>
      </c>
      <c r="ES102">
        <v>5.69</v>
      </c>
      <c r="ET102">
        <v>23.67</v>
      </c>
      <c r="EU102">
        <v>0.01</v>
      </c>
      <c r="EV102">
        <v>237.48</v>
      </c>
      <c r="EW102">
        <v>12.12</v>
      </c>
      <c r="EX102">
        <v>0</v>
      </c>
      <c r="EY102">
        <v>0</v>
      </c>
      <c r="FQ102">
        <v>0</v>
      </c>
      <c r="FR102">
        <f t="shared" si="94"/>
        <v>0</v>
      </c>
      <c r="FS102">
        <v>0</v>
      </c>
      <c r="FX102">
        <v>112</v>
      </c>
      <c r="FY102">
        <v>70</v>
      </c>
      <c r="GA102" t="s">
        <v>3</v>
      </c>
      <c r="GD102">
        <v>0</v>
      </c>
      <c r="GF102">
        <v>-1185999152</v>
      </c>
      <c r="GG102">
        <v>2</v>
      </c>
      <c r="GH102">
        <v>1</v>
      </c>
      <c r="GI102">
        <v>2</v>
      </c>
      <c r="GJ102">
        <v>0</v>
      </c>
      <c r="GK102">
        <f>ROUND(R102*(R12)/100,2)</f>
        <v>2.93</v>
      </c>
      <c r="GL102">
        <f t="shared" si="95"/>
        <v>0</v>
      </c>
      <c r="GM102">
        <f t="shared" si="104"/>
        <v>96481.4</v>
      </c>
      <c r="GN102">
        <f t="shared" si="96"/>
        <v>0</v>
      </c>
      <c r="GO102">
        <f t="shared" si="97"/>
        <v>96481.4</v>
      </c>
      <c r="GP102">
        <f t="shared" si="98"/>
        <v>0</v>
      </c>
      <c r="GR102">
        <v>0</v>
      </c>
      <c r="GS102">
        <v>3</v>
      </c>
      <c r="GT102">
        <v>0</v>
      </c>
      <c r="GU102" t="s">
        <v>3</v>
      </c>
      <c r="GV102">
        <f t="shared" si="99"/>
        <v>0</v>
      </c>
      <c r="GW102">
        <v>1</v>
      </c>
      <c r="GX102">
        <f t="shared" si="100"/>
        <v>0</v>
      </c>
      <c r="HA102">
        <v>0</v>
      </c>
      <c r="HB102">
        <v>0</v>
      </c>
      <c r="HC102">
        <f t="shared" si="101"/>
        <v>0</v>
      </c>
      <c r="HE102" t="s">
        <v>3</v>
      </c>
      <c r="HF102" t="s">
        <v>3</v>
      </c>
      <c r="HM102" t="s">
        <v>3</v>
      </c>
      <c r="HN102" t="s">
        <v>3</v>
      </c>
      <c r="HO102" t="s">
        <v>3</v>
      </c>
      <c r="HP102" t="s">
        <v>3</v>
      </c>
      <c r="HQ102" t="s">
        <v>3</v>
      </c>
      <c r="IK102">
        <v>0</v>
      </c>
    </row>
    <row r="103" spans="1:245" x14ac:dyDescent="0.2">
      <c r="A103">
        <v>17</v>
      </c>
      <c r="B103">
        <v>1</v>
      </c>
      <c r="E103" t="s">
        <v>226</v>
      </c>
      <c r="F103" t="s">
        <v>227</v>
      </c>
      <c r="G103" t="s">
        <v>228</v>
      </c>
      <c r="H103" t="s">
        <v>222</v>
      </c>
      <c r="I103">
        <v>-4</v>
      </c>
      <c r="J103">
        <v>0</v>
      </c>
      <c r="K103">
        <v>-4</v>
      </c>
      <c r="O103">
        <f t="shared" si="73"/>
        <v>-4758.5600000000004</v>
      </c>
      <c r="P103">
        <f t="shared" si="74"/>
        <v>-42.51</v>
      </c>
      <c r="Q103">
        <f>(ROUND((ROUND(((((ET103*1.2)*1.1))*AV103*I103),2)*BB103),2)+ROUND((ROUND(((AE103-(((EU103*1.2)*1.1)))*AV103*I103),2)*BS103),2))</f>
        <v>-139.78</v>
      </c>
      <c r="R103">
        <f t="shared" si="75"/>
        <v>0</v>
      </c>
      <c r="S103">
        <f t="shared" si="102"/>
        <v>-4576.2700000000004</v>
      </c>
      <c r="T103">
        <f t="shared" si="76"/>
        <v>0</v>
      </c>
      <c r="U103">
        <f t="shared" si="77"/>
        <v>-7.661913600000001</v>
      </c>
      <c r="V103">
        <f t="shared" si="78"/>
        <v>0</v>
      </c>
      <c r="W103">
        <f t="shared" si="79"/>
        <v>0</v>
      </c>
      <c r="X103">
        <f t="shared" si="80"/>
        <v>-4210.17</v>
      </c>
      <c r="Y103">
        <f t="shared" si="81"/>
        <v>-1876.27</v>
      </c>
      <c r="AA103">
        <v>50732134</v>
      </c>
      <c r="AB103">
        <f t="shared" si="103"/>
        <v>39.7652</v>
      </c>
      <c r="AC103">
        <f>ROUND((((ES103*1)*1)),6)</f>
        <v>0.68</v>
      </c>
      <c r="AD103">
        <f>ROUND((((((ET103*1.2)*1.1))-(((EU103*1.2)*1.1)))+AE103),6)</f>
        <v>3.9072</v>
      </c>
      <c r="AE103">
        <f>ROUND((((EU103*1.2)*1.1)),6)</f>
        <v>0</v>
      </c>
      <c r="AF103">
        <f>ROUND((((EV103*1.2)*1.1)),6)</f>
        <v>35.177999999999997</v>
      </c>
      <c r="AG103">
        <f t="shared" si="82"/>
        <v>0</v>
      </c>
      <c r="AH103">
        <f>(((EW103*1.2)*1.1))</f>
        <v>1.7952000000000004</v>
      </c>
      <c r="AI103">
        <f>(((EX103*1.2)*1.1))</f>
        <v>0</v>
      </c>
      <c r="AJ103">
        <f t="shared" si="83"/>
        <v>0</v>
      </c>
      <c r="AK103">
        <v>30.29</v>
      </c>
      <c r="AL103">
        <v>0.68</v>
      </c>
      <c r="AM103">
        <v>2.96</v>
      </c>
      <c r="AN103">
        <v>0</v>
      </c>
      <c r="AO103">
        <v>26.65</v>
      </c>
      <c r="AP103">
        <v>0</v>
      </c>
      <c r="AQ103">
        <v>1.36</v>
      </c>
      <c r="AR103">
        <v>0</v>
      </c>
      <c r="AS103">
        <v>0</v>
      </c>
      <c r="AT103">
        <v>92</v>
      </c>
      <c r="AU103">
        <v>41</v>
      </c>
      <c r="AV103">
        <v>1.0669999999999999</v>
      </c>
      <c r="AW103">
        <v>1.081</v>
      </c>
      <c r="AZ103">
        <v>1</v>
      </c>
      <c r="BA103">
        <v>30.48</v>
      </c>
      <c r="BB103">
        <v>8.3800000000000008</v>
      </c>
      <c r="BC103">
        <v>14.46</v>
      </c>
      <c r="BD103" t="s">
        <v>3</v>
      </c>
      <c r="BE103" t="s">
        <v>3</v>
      </c>
      <c r="BF103" t="s">
        <v>3</v>
      </c>
      <c r="BG103" t="s">
        <v>3</v>
      </c>
      <c r="BH103">
        <v>0</v>
      </c>
      <c r="BI103">
        <v>2</v>
      </c>
      <c r="BJ103" t="s">
        <v>229</v>
      </c>
      <c r="BM103">
        <v>1823</v>
      </c>
      <c r="BN103">
        <v>0</v>
      </c>
      <c r="BO103" t="s">
        <v>227</v>
      </c>
      <c r="BP103">
        <v>1</v>
      </c>
      <c r="BQ103">
        <v>40</v>
      </c>
      <c r="BR103">
        <v>0</v>
      </c>
      <c r="BS103">
        <v>30.48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92</v>
      </c>
      <c r="CA103">
        <v>41</v>
      </c>
      <c r="CB103" t="s">
        <v>3</v>
      </c>
      <c r="CE103">
        <v>30</v>
      </c>
      <c r="CF103">
        <v>0</v>
      </c>
      <c r="CG103">
        <v>0</v>
      </c>
      <c r="CM103">
        <v>0</v>
      </c>
      <c r="CN103" t="s">
        <v>265</v>
      </c>
      <c r="CO103">
        <v>0</v>
      </c>
      <c r="CP103">
        <f t="shared" si="84"/>
        <v>-4758.5600000000004</v>
      </c>
      <c r="CQ103">
        <f t="shared" si="85"/>
        <v>10.7</v>
      </c>
      <c r="CR103">
        <f>(ROUND((ROUND(((((ET103*1.2)*1.1))*AV103*1),2)*BB103),2)+ROUND((ROUND(((AE103-(((EU103*1.2)*1.1)))*AV103*1),2)*BS103),2))</f>
        <v>34.94</v>
      </c>
      <c r="CS103">
        <f t="shared" si="86"/>
        <v>0</v>
      </c>
      <c r="CT103">
        <f t="shared" si="87"/>
        <v>1143.9100000000001</v>
      </c>
      <c r="CU103">
        <f t="shared" si="88"/>
        <v>0</v>
      </c>
      <c r="CV103">
        <f t="shared" si="89"/>
        <v>1.9154784000000002</v>
      </c>
      <c r="CW103">
        <f t="shared" si="90"/>
        <v>0</v>
      </c>
      <c r="CX103">
        <f t="shared" si="91"/>
        <v>0</v>
      </c>
      <c r="CY103">
        <f t="shared" si="92"/>
        <v>-4210.1684000000005</v>
      </c>
      <c r="CZ103">
        <f t="shared" si="93"/>
        <v>-1876.2707</v>
      </c>
      <c r="DC103" t="s">
        <v>3</v>
      </c>
      <c r="DD103" t="s">
        <v>26</v>
      </c>
      <c r="DE103" t="s">
        <v>27</v>
      </c>
      <c r="DF103" t="s">
        <v>27</v>
      </c>
      <c r="DG103" t="s">
        <v>27</v>
      </c>
      <c r="DH103" t="s">
        <v>3</v>
      </c>
      <c r="DI103" t="s">
        <v>27</v>
      </c>
      <c r="DJ103" t="s">
        <v>27</v>
      </c>
      <c r="DK103" t="s">
        <v>3</v>
      </c>
      <c r="DL103" t="s">
        <v>3</v>
      </c>
      <c r="DM103" t="s">
        <v>3</v>
      </c>
      <c r="DN103">
        <v>112</v>
      </c>
      <c r="DO103">
        <v>70</v>
      </c>
      <c r="DP103">
        <v>1.0669999999999999</v>
      </c>
      <c r="DQ103">
        <v>1.081</v>
      </c>
      <c r="DU103">
        <v>30517203</v>
      </c>
      <c r="DV103" t="s">
        <v>222</v>
      </c>
      <c r="DW103" t="s">
        <v>222</v>
      </c>
      <c r="DX103">
        <v>1</v>
      </c>
      <c r="DZ103" t="s">
        <v>3</v>
      </c>
      <c r="EA103" t="s">
        <v>3</v>
      </c>
      <c r="EB103" t="s">
        <v>3</v>
      </c>
      <c r="EC103" t="s">
        <v>3</v>
      </c>
      <c r="EE103">
        <v>50003486</v>
      </c>
      <c r="EF103">
        <v>40</v>
      </c>
      <c r="EG103" t="s">
        <v>83</v>
      </c>
      <c r="EH103">
        <v>0</v>
      </c>
      <c r="EI103" t="s">
        <v>3</v>
      </c>
      <c r="EJ103">
        <v>2</v>
      </c>
      <c r="EK103">
        <v>1823</v>
      </c>
      <c r="EL103" t="s">
        <v>224</v>
      </c>
      <c r="EM103" t="s">
        <v>225</v>
      </c>
      <c r="EO103" t="s">
        <v>31</v>
      </c>
      <c r="EQ103">
        <v>0</v>
      </c>
      <c r="ER103">
        <v>30.29</v>
      </c>
      <c r="ES103">
        <v>0.68</v>
      </c>
      <c r="ET103">
        <v>2.96</v>
      </c>
      <c r="EU103">
        <v>0</v>
      </c>
      <c r="EV103">
        <v>26.65</v>
      </c>
      <c r="EW103">
        <v>1.36</v>
      </c>
      <c r="EX103">
        <v>0</v>
      </c>
      <c r="EY103">
        <v>0</v>
      </c>
      <c r="FQ103">
        <v>0</v>
      </c>
      <c r="FR103">
        <f t="shared" si="94"/>
        <v>0</v>
      </c>
      <c r="FS103">
        <v>0</v>
      </c>
      <c r="FX103">
        <v>112</v>
      </c>
      <c r="FY103">
        <v>70</v>
      </c>
      <c r="GA103" t="s">
        <v>3</v>
      </c>
      <c r="GD103">
        <v>0</v>
      </c>
      <c r="GF103">
        <v>1658231697</v>
      </c>
      <c r="GG103">
        <v>2</v>
      </c>
      <c r="GH103">
        <v>1</v>
      </c>
      <c r="GI103">
        <v>2</v>
      </c>
      <c r="GJ103">
        <v>0</v>
      </c>
      <c r="GK103">
        <f>ROUND(R103*(R12)/100,2)</f>
        <v>0</v>
      </c>
      <c r="GL103">
        <f t="shared" si="95"/>
        <v>0</v>
      </c>
      <c r="GM103">
        <f t="shared" si="104"/>
        <v>-10845</v>
      </c>
      <c r="GN103">
        <f t="shared" si="96"/>
        <v>0</v>
      </c>
      <c r="GO103">
        <f t="shared" si="97"/>
        <v>-10845</v>
      </c>
      <c r="GP103">
        <f t="shared" si="98"/>
        <v>0</v>
      </c>
      <c r="GR103">
        <v>0</v>
      </c>
      <c r="GS103">
        <v>3</v>
      </c>
      <c r="GT103">
        <v>0</v>
      </c>
      <c r="GU103" t="s">
        <v>3</v>
      </c>
      <c r="GV103">
        <f t="shared" si="99"/>
        <v>0</v>
      </c>
      <c r="GW103">
        <v>1</v>
      </c>
      <c r="GX103">
        <f t="shared" si="100"/>
        <v>0</v>
      </c>
      <c r="HA103">
        <v>0</v>
      </c>
      <c r="HB103">
        <v>0</v>
      </c>
      <c r="HC103">
        <f t="shared" si="101"/>
        <v>0</v>
      </c>
      <c r="HE103" t="s">
        <v>3</v>
      </c>
      <c r="HF103" t="s">
        <v>3</v>
      </c>
      <c r="HM103" t="s">
        <v>3</v>
      </c>
      <c r="HN103" t="s">
        <v>3</v>
      </c>
      <c r="HO103" t="s">
        <v>3</v>
      </c>
      <c r="HP103" t="s">
        <v>3</v>
      </c>
      <c r="HQ103" t="s">
        <v>3</v>
      </c>
      <c r="IK103">
        <v>0</v>
      </c>
    </row>
    <row r="104" spans="1:245" x14ac:dyDescent="0.2">
      <c r="A104">
        <v>17</v>
      </c>
      <c r="B104">
        <v>1</v>
      </c>
      <c r="E104" t="s">
        <v>230</v>
      </c>
      <c r="F104" t="s">
        <v>208</v>
      </c>
      <c r="G104" t="s">
        <v>231</v>
      </c>
      <c r="H104" t="s">
        <v>73</v>
      </c>
      <c r="I104">
        <v>4</v>
      </c>
      <c r="J104">
        <v>0</v>
      </c>
      <c r="K104">
        <v>4</v>
      </c>
      <c r="O104">
        <f t="shared" si="73"/>
        <v>13464.22</v>
      </c>
      <c r="P104">
        <f t="shared" si="74"/>
        <v>13464.22</v>
      </c>
      <c r="Q104">
        <f>(ROUND((ROUND(((ET104)*AV104*I104),2)*BB104),2)+ROUND((ROUND(((AE104-(EU104))*AV104*I104),2)*BS104),2))</f>
        <v>0</v>
      </c>
      <c r="R104">
        <f t="shared" si="75"/>
        <v>0</v>
      </c>
      <c r="S104">
        <f t="shared" si="102"/>
        <v>0</v>
      </c>
      <c r="T104">
        <f t="shared" si="76"/>
        <v>0</v>
      </c>
      <c r="U104">
        <f t="shared" si="77"/>
        <v>0</v>
      </c>
      <c r="V104">
        <f t="shared" si="78"/>
        <v>0</v>
      </c>
      <c r="W104">
        <f t="shared" si="79"/>
        <v>0</v>
      </c>
      <c r="X104">
        <f t="shared" si="80"/>
        <v>0</v>
      </c>
      <c r="Y104">
        <f t="shared" si="81"/>
        <v>0</v>
      </c>
      <c r="AA104">
        <v>50732134</v>
      </c>
      <c r="AB104">
        <f t="shared" si="103"/>
        <v>351.73</v>
      </c>
      <c r="AC104">
        <f>ROUND((ES104),6)</f>
        <v>351.73</v>
      </c>
      <c r="AD104">
        <f>ROUND((((ET104)-(EU104))+AE104),6)</f>
        <v>0</v>
      </c>
      <c r="AE104">
        <f>ROUND((EU104),6)</f>
        <v>0</v>
      </c>
      <c r="AF104">
        <f>ROUND((EV104),6)</f>
        <v>0</v>
      </c>
      <c r="AG104">
        <f t="shared" si="82"/>
        <v>0</v>
      </c>
      <c r="AH104">
        <f>(EW104)</f>
        <v>0</v>
      </c>
      <c r="AI104">
        <f>(EX104)</f>
        <v>0</v>
      </c>
      <c r="AJ104">
        <f t="shared" si="83"/>
        <v>0</v>
      </c>
      <c r="AK104">
        <v>351.72999999999996</v>
      </c>
      <c r="AL104">
        <v>351.72999999999996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1</v>
      </c>
      <c r="AW104">
        <v>1</v>
      </c>
      <c r="AZ104">
        <v>1</v>
      </c>
      <c r="BA104">
        <v>1</v>
      </c>
      <c r="BB104">
        <v>1</v>
      </c>
      <c r="BC104">
        <v>9.57</v>
      </c>
      <c r="BD104" t="s">
        <v>3</v>
      </c>
      <c r="BE104" t="s">
        <v>3</v>
      </c>
      <c r="BF104" t="s">
        <v>3</v>
      </c>
      <c r="BG104" t="s">
        <v>3</v>
      </c>
      <c r="BH104">
        <v>3</v>
      </c>
      <c r="BI104">
        <v>2</v>
      </c>
      <c r="BJ104" t="s">
        <v>3</v>
      </c>
      <c r="BM104">
        <v>1618</v>
      </c>
      <c r="BN104">
        <v>0</v>
      </c>
      <c r="BO104" t="s">
        <v>3</v>
      </c>
      <c r="BP104">
        <v>0</v>
      </c>
      <c r="BQ104">
        <v>201</v>
      </c>
      <c r="BR104">
        <v>0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0</v>
      </c>
      <c r="CA104">
        <v>0</v>
      </c>
      <c r="CB104" t="s">
        <v>3</v>
      </c>
      <c r="CE104">
        <v>30</v>
      </c>
      <c r="CF104">
        <v>0</v>
      </c>
      <c r="CG104">
        <v>0</v>
      </c>
      <c r="CM104">
        <v>0</v>
      </c>
      <c r="CN104" t="s">
        <v>3</v>
      </c>
      <c r="CO104">
        <v>0</v>
      </c>
      <c r="CP104">
        <f t="shared" si="84"/>
        <v>13464.22</v>
      </c>
      <c r="CQ104">
        <f t="shared" si="85"/>
        <v>3366.06</v>
      </c>
      <c r="CR104">
        <f>(ROUND((ROUND(((ET104)*AV104*1),2)*BB104),2)+ROUND((ROUND(((AE104-(EU104))*AV104*1),2)*BS104),2))</f>
        <v>0</v>
      </c>
      <c r="CS104">
        <f t="shared" si="86"/>
        <v>0</v>
      </c>
      <c r="CT104">
        <f t="shared" si="87"/>
        <v>0</v>
      </c>
      <c r="CU104">
        <f t="shared" si="88"/>
        <v>0</v>
      </c>
      <c r="CV104">
        <f t="shared" si="89"/>
        <v>0</v>
      </c>
      <c r="CW104">
        <f t="shared" si="90"/>
        <v>0</v>
      </c>
      <c r="CX104">
        <f t="shared" si="91"/>
        <v>0</v>
      </c>
      <c r="CY104">
        <f t="shared" si="92"/>
        <v>0</v>
      </c>
      <c r="CZ104">
        <f t="shared" si="93"/>
        <v>0</v>
      </c>
      <c r="DC104" t="s">
        <v>3</v>
      </c>
      <c r="DD104" t="s">
        <v>3</v>
      </c>
      <c r="DE104" t="s">
        <v>3</v>
      </c>
      <c r="DF104" t="s">
        <v>3</v>
      </c>
      <c r="DG104" t="s">
        <v>3</v>
      </c>
      <c r="DH104" t="s">
        <v>3</v>
      </c>
      <c r="DI104" t="s">
        <v>3</v>
      </c>
      <c r="DJ104" t="s">
        <v>3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1010</v>
      </c>
      <c r="DV104" t="s">
        <v>73</v>
      </c>
      <c r="DW104" t="s">
        <v>73</v>
      </c>
      <c r="DX104">
        <v>1</v>
      </c>
      <c r="DZ104" t="s">
        <v>3</v>
      </c>
      <c r="EA104" t="s">
        <v>3</v>
      </c>
      <c r="EB104" t="s">
        <v>3</v>
      </c>
      <c r="EC104" t="s">
        <v>3</v>
      </c>
      <c r="EE104">
        <v>50003280</v>
      </c>
      <c r="EF104">
        <v>201</v>
      </c>
      <c r="EG104" t="s">
        <v>210</v>
      </c>
      <c r="EH104">
        <v>0</v>
      </c>
      <c r="EI104" t="s">
        <v>3</v>
      </c>
      <c r="EJ104">
        <v>2</v>
      </c>
      <c r="EK104">
        <v>1618</v>
      </c>
      <c r="EL104" t="s">
        <v>211</v>
      </c>
      <c r="EM104" t="s">
        <v>212</v>
      </c>
      <c r="EO104" t="s">
        <v>3</v>
      </c>
      <c r="EQ104">
        <v>0</v>
      </c>
      <c r="ER104">
        <v>344.83</v>
      </c>
      <c r="ES104">
        <v>351.72999999999996</v>
      </c>
      <c r="ET104">
        <v>0</v>
      </c>
      <c r="EU104">
        <v>0</v>
      </c>
      <c r="EV104">
        <v>0</v>
      </c>
      <c r="EW104">
        <v>0</v>
      </c>
      <c r="EX104">
        <v>0</v>
      </c>
      <c r="EY104">
        <v>0</v>
      </c>
      <c r="EZ104">
        <v>5</v>
      </c>
      <c r="FC104">
        <v>1</v>
      </c>
      <c r="FD104">
        <v>18</v>
      </c>
      <c r="FF104">
        <v>3960</v>
      </c>
      <c r="FQ104">
        <v>0</v>
      </c>
      <c r="FR104">
        <f t="shared" si="94"/>
        <v>0</v>
      </c>
      <c r="FS104">
        <v>0</v>
      </c>
      <c r="FX104">
        <v>0</v>
      </c>
      <c r="FY104">
        <v>0</v>
      </c>
      <c r="GA104" t="s">
        <v>232</v>
      </c>
      <c r="GD104">
        <v>0</v>
      </c>
      <c r="GF104">
        <v>-963774932</v>
      </c>
      <c r="GG104">
        <v>2</v>
      </c>
      <c r="GH104">
        <v>3</v>
      </c>
      <c r="GI104">
        <v>5</v>
      </c>
      <c r="GJ104">
        <v>0</v>
      </c>
      <c r="GK104">
        <f>ROUND(R104*(R12)/100,2)</f>
        <v>0</v>
      </c>
      <c r="GL104">
        <f t="shared" si="95"/>
        <v>0</v>
      </c>
      <c r="GM104">
        <f t="shared" si="104"/>
        <v>13464.22</v>
      </c>
      <c r="GN104">
        <f t="shared" si="96"/>
        <v>0</v>
      </c>
      <c r="GO104">
        <f t="shared" si="97"/>
        <v>13464.22</v>
      </c>
      <c r="GP104">
        <f t="shared" si="98"/>
        <v>0</v>
      </c>
      <c r="GR104">
        <v>1</v>
      </c>
      <c r="GS104">
        <v>1</v>
      </c>
      <c r="GT104">
        <v>0</v>
      </c>
      <c r="GU104" t="s">
        <v>3</v>
      </c>
      <c r="GV104">
        <f t="shared" si="99"/>
        <v>0</v>
      </c>
      <c r="GW104">
        <v>1</v>
      </c>
      <c r="GX104">
        <f t="shared" si="100"/>
        <v>0</v>
      </c>
      <c r="HA104">
        <v>0</v>
      </c>
      <c r="HB104">
        <v>0</v>
      </c>
      <c r="HC104">
        <f t="shared" si="101"/>
        <v>0</v>
      </c>
      <c r="HE104" t="s">
        <v>214</v>
      </c>
      <c r="HF104" t="s">
        <v>32</v>
      </c>
      <c r="HM104" t="s">
        <v>3</v>
      </c>
      <c r="HN104" t="s">
        <v>3</v>
      </c>
      <c r="HO104" t="s">
        <v>3</v>
      </c>
      <c r="HP104" t="s">
        <v>3</v>
      </c>
      <c r="HQ104" t="s">
        <v>3</v>
      </c>
      <c r="IK104">
        <v>0</v>
      </c>
    </row>
    <row r="105" spans="1:245" x14ac:dyDescent="0.2">
      <c r="A105">
        <v>17</v>
      </c>
      <c r="B105">
        <v>1</v>
      </c>
      <c r="E105" t="s">
        <v>233</v>
      </c>
      <c r="F105" t="s">
        <v>234</v>
      </c>
      <c r="G105" t="s">
        <v>235</v>
      </c>
      <c r="H105" t="s">
        <v>236</v>
      </c>
      <c r="I105">
        <f>ROUND(24.57/1000,9)</f>
        <v>2.4570000000000002E-2</v>
      </c>
      <c r="J105">
        <v>0</v>
      </c>
      <c r="K105">
        <f>ROUND(24.57/1000,9)</f>
        <v>2.4570000000000002E-2</v>
      </c>
      <c r="O105">
        <f t="shared" si="73"/>
        <v>1703.37</v>
      </c>
      <c r="P105">
        <f t="shared" si="74"/>
        <v>49.4</v>
      </c>
      <c r="Q105">
        <f>(ROUND((ROUND(((((ET105*1.2)*1.1))*AV105*I105),2)*BB105),2)+ROUND((ROUND(((AE105-(((EU105*1.2)*1.1)))*AV105*I105),2)*BS105),2))</f>
        <v>117.47</v>
      </c>
      <c r="R105">
        <f t="shared" si="75"/>
        <v>6.4</v>
      </c>
      <c r="S105">
        <f t="shared" si="102"/>
        <v>1536.5</v>
      </c>
      <c r="T105">
        <f t="shared" si="76"/>
        <v>0</v>
      </c>
      <c r="U105">
        <f t="shared" si="77"/>
        <v>3.4719568523639999</v>
      </c>
      <c r="V105">
        <f t="shared" si="78"/>
        <v>0</v>
      </c>
      <c r="W105">
        <f t="shared" si="79"/>
        <v>0</v>
      </c>
      <c r="X105">
        <f t="shared" si="80"/>
        <v>1413.58</v>
      </c>
      <c r="Y105">
        <f t="shared" si="81"/>
        <v>660.7</v>
      </c>
      <c r="AA105">
        <v>50732134</v>
      </c>
      <c r="AB105">
        <f t="shared" si="103"/>
        <v>2581.2451999999998</v>
      </c>
      <c r="AC105">
        <f>ROUND((((ES105*1)*1)),6)</f>
        <v>258.89</v>
      </c>
      <c r="AD105">
        <f>ROUND((((((ET105*1.2)*1.1))-(((EU105*1.2)*1.1)))+AE105),6)</f>
        <v>399.31319999999999</v>
      </c>
      <c r="AE105">
        <f>ROUND((((EU105*1.2)*1.1)),6)</f>
        <v>8.1707999999999998</v>
      </c>
      <c r="AF105">
        <f>ROUND((((EV105*1.2)*1.1)),6)</f>
        <v>1923.0419999999999</v>
      </c>
      <c r="AG105">
        <f t="shared" si="82"/>
        <v>0</v>
      </c>
      <c r="AH105">
        <f>(((EW105*1.2)*1.1))</f>
        <v>132.43559999999999</v>
      </c>
      <c r="AI105">
        <f>(((EX105*1.2)*1.1))</f>
        <v>0</v>
      </c>
      <c r="AJ105">
        <f t="shared" si="83"/>
        <v>0</v>
      </c>
      <c r="AK105">
        <v>2018.25</v>
      </c>
      <c r="AL105">
        <v>258.89</v>
      </c>
      <c r="AM105">
        <v>302.51</v>
      </c>
      <c r="AN105">
        <v>6.19</v>
      </c>
      <c r="AO105">
        <v>1456.85</v>
      </c>
      <c r="AP105">
        <v>0</v>
      </c>
      <c r="AQ105">
        <v>100.33</v>
      </c>
      <c r="AR105">
        <v>0</v>
      </c>
      <c r="AS105">
        <v>0</v>
      </c>
      <c r="AT105">
        <v>92</v>
      </c>
      <c r="AU105">
        <v>43</v>
      </c>
      <c r="AV105">
        <v>1.0669999999999999</v>
      </c>
      <c r="AW105">
        <v>1.081</v>
      </c>
      <c r="AZ105">
        <v>1</v>
      </c>
      <c r="BA105">
        <v>30.48</v>
      </c>
      <c r="BB105">
        <v>11.22</v>
      </c>
      <c r="BC105">
        <v>7.18</v>
      </c>
      <c r="BD105" t="s">
        <v>3</v>
      </c>
      <c r="BE105" t="s">
        <v>3</v>
      </c>
      <c r="BF105" t="s">
        <v>3</v>
      </c>
      <c r="BG105" t="s">
        <v>3</v>
      </c>
      <c r="BH105">
        <v>0</v>
      </c>
      <c r="BI105">
        <v>2</v>
      </c>
      <c r="BJ105" t="s">
        <v>237</v>
      </c>
      <c r="BM105">
        <v>1608</v>
      </c>
      <c r="BN105">
        <v>0</v>
      </c>
      <c r="BO105" t="s">
        <v>234</v>
      </c>
      <c r="BP105">
        <v>1</v>
      </c>
      <c r="BQ105">
        <v>40</v>
      </c>
      <c r="BR105">
        <v>0</v>
      </c>
      <c r="BS105">
        <v>30.48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92</v>
      </c>
      <c r="CA105">
        <v>43</v>
      </c>
      <c r="CB105" t="s">
        <v>3</v>
      </c>
      <c r="CE105">
        <v>30</v>
      </c>
      <c r="CF105">
        <v>0</v>
      </c>
      <c r="CG105">
        <v>0</v>
      </c>
      <c r="CM105">
        <v>0</v>
      </c>
      <c r="CN105" t="s">
        <v>265</v>
      </c>
      <c r="CO105">
        <v>0</v>
      </c>
      <c r="CP105">
        <f t="shared" si="84"/>
        <v>1703.37</v>
      </c>
      <c r="CQ105">
        <f t="shared" si="85"/>
        <v>2009.39</v>
      </c>
      <c r="CR105">
        <f>(ROUND((ROUND(((((ET105*1.2)*1.1))*AV105*1),2)*BB105),2)+ROUND((ROUND(((AE105-(((EU105*1.2)*1.1)))*AV105*1),2)*BS105),2))</f>
        <v>4780.51</v>
      </c>
      <c r="CS105">
        <f t="shared" si="86"/>
        <v>265.79000000000002</v>
      </c>
      <c r="CT105">
        <f t="shared" si="87"/>
        <v>62541.61</v>
      </c>
      <c r="CU105">
        <f t="shared" si="88"/>
        <v>0</v>
      </c>
      <c r="CV105">
        <f t="shared" si="89"/>
        <v>141.30878519999999</v>
      </c>
      <c r="CW105">
        <f t="shared" si="90"/>
        <v>0</v>
      </c>
      <c r="CX105">
        <f t="shared" si="91"/>
        <v>0</v>
      </c>
      <c r="CY105">
        <f t="shared" si="92"/>
        <v>1413.5800000000002</v>
      </c>
      <c r="CZ105">
        <f t="shared" si="93"/>
        <v>660.69499999999994</v>
      </c>
      <c r="DC105" t="s">
        <v>3</v>
      </c>
      <c r="DD105" t="s">
        <v>26</v>
      </c>
      <c r="DE105" t="s">
        <v>27</v>
      </c>
      <c r="DF105" t="s">
        <v>27</v>
      </c>
      <c r="DG105" t="s">
        <v>27</v>
      </c>
      <c r="DH105" t="s">
        <v>3</v>
      </c>
      <c r="DI105" t="s">
        <v>27</v>
      </c>
      <c r="DJ105" t="s">
        <v>27</v>
      </c>
      <c r="DK105" t="s">
        <v>3</v>
      </c>
      <c r="DL105" t="s">
        <v>3</v>
      </c>
      <c r="DM105" t="s">
        <v>3</v>
      </c>
      <c r="DN105">
        <v>112</v>
      </c>
      <c r="DO105">
        <v>70</v>
      </c>
      <c r="DP105">
        <v>1.0669999999999999</v>
      </c>
      <c r="DQ105">
        <v>1.081</v>
      </c>
      <c r="DU105">
        <v>1013</v>
      </c>
      <c r="DV105" t="s">
        <v>236</v>
      </c>
      <c r="DW105" t="s">
        <v>236</v>
      </c>
      <c r="DX105">
        <v>1</v>
      </c>
      <c r="DZ105" t="s">
        <v>3</v>
      </c>
      <c r="EA105" t="s">
        <v>3</v>
      </c>
      <c r="EB105" t="s">
        <v>3</v>
      </c>
      <c r="EC105" t="s">
        <v>3</v>
      </c>
      <c r="EE105">
        <v>50003270</v>
      </c>
      <c r="EF105">
        <v>40</v>
      </c>
      <c r="EG105" t="s">
        <v>83</v>
      </c>
      <c r="EH105">
        <v>0</v>
      </c>
      <c r="EI105" t="s">
        <v>3</v>
      </c>
      <c r="EJ105">
        <v>2</v>
      </c>
      <c r="EK105">
        <v>1608</v>
      </c>
      <c r="EL105" t="s">
        <v>238</v>
      </c>
      <c r="EM105" t="s">
        <v>239</v>
      </c>
      <c r="EO105" t="s">
        <v>31</v>
      </c>
      <c r="EQ105">
        <v>0</v>
      </c>
      <c r="ER105">
        <v>2018.25</v>
      </c>
      <c r="ES105">
        <v>258.89</v>
      </c>
      <c r="ET105">
        <v>302.51</v>
      </c>
      <c r="EU105">
        <v>6.19</v>
      </c>
      <c r="EV105">
        <v>1456.85</v>
      </c>
      <c r="EW105">
        <v>100.33</v>
      </c>
      <c r="EX105">
        <v>0</v>
      </c>
      <c r="EY105">
        <v>0</v>
      </c>
      <c r="FQ105">
        <v>0</v>
      </c>
      <c r="FR105">
        <f t="shared" si="94"/>
        <v>0</v>
      </c>
      <c r="FS105">
        <v>2</v>
      </c>
      <c r="FX105">
        <v>112</v>
      </c>
      <c r="FY105">
        <v>70</v>
      </c>
      <c r="GA105" t="s">
        <v>3</v>
      </c>
      <c r="GD105">
        <v>0</v>
      </c>
      <c r="GF105">
        <v>32682651</v>
      </c>
      <c r="GG105">
        <v>2</v>
      </c>
      <c r="GH105">
        <v>1</v>
      </c>
      <c r="GI105">
        <v>2</v>
      </c>
      <c r="GJ105">
        <v>0</v>
      </c>
      <c r="GK105">
        <f>ROUND(R105*(R12)/100,2)</f>
        <v>10.24</v>
      </c>
      <c r="GL105">
        <f t="shared" si="95"/>
        <v>0</v>
      </c>
      <c r="GM105">
        <f t="shared" si="104"/>
        <v>3787.89</v>
      </c>
      <c r="GN105">
        <f t="shared" si="96"/>
        <v>0</v>
      </c>
      <c r="GO105">
        <f t="shared" si="97"/>
        <v>3787.89</v>
      </c>
      <c r="GP105">
        <f t="shared" si="98"/>
        <v>0</v>
      </c>
      <c r="GR105">
        <v>0</v>
      </c>
      <c r="GS105">
        <v>3</v>
      </c>
      <c r="GT105">
        <v>0</v>
      </c>
      <c r="GU105" t="s">
        <v>3</v>
      </c>
      <c r="GV105">
        <f t="shared" si="99"/>
        <v>0</v>
      </c>
      <c r="GW105">
        <v>1</v>
      </c>
      <c r="GX105">
        <f t="shared" si="100"/>
        <v>0</v>
      </c>
      <c r="HA105">
        <v>0</v>
      </c>
      <c r="HB105">
        <v>0</v>
      </c>
      <c r="HC105">
        <f t="shared" si="101"/>
        <v>0</v>
      </c>
      <c r="HE105" t="s">
        <v>3</v>
      </c>
      <c r="HF105" t="s">
        <v>3</v>
      </c>
      <c r="HM105" t="s">
        <v>3</v>
      </c>
      <c r="HN105" t="s">
        <v>3</v>
      </c>
      <c r="HO105" t="s">
        <v>3</v>
      </c>
      <c r="HP105" t="s">
        <v>3</v>
      </c>
      <c r="HQ105" t="s">
        <v>3</v>
      </c>
      <c r="IK105">
        <v>0</v>
      </c>
    </row>
    <row r="106" spans="1:245" x14ac:dyDescent="0.2">
      <c r="A106">
        <v>17</v>
      </c>
      <c r="B106">
        <v>1</v>
      </c>
      <c r="E106" t="s">
        <v>240</v>
      </c>
      <c r="F106" t="s">
        <v>241</v>
      </c>
      <c r="G106" t="s">
        <v>242</v>
      </c>
      <c r="H106" t="s">
        <v>73</v>
      </c>
      <c r="I106">
        <v>6</v>
      </c>
      <c r="J106">
        <v>0</v>
      </c>
      <c r="K106">
        <v>6</v>
      </c>
      <c r="O106">
        <f t="shared" si="73"/>
        <v>2389.91</v>
      </c>
      <c r="P106">
        <f t="shared" si="74"/>
        <v>2389.91</v>
      </c>
      <c r="Q106">
        <f>(ROUND((ROUND(((ET106)*AV106*I106),2)*BB106),2)+ROUND((ROUND(((AE106-(EU106))*AV106*I106),2)*BS106),2))</f>
        <v>0</v>
      </c>
      <c r="R106">
        <f t="shared" si="75"/>
        <v>0</v>
      </c>
      <c r="S106">
        <f t="shared" si="102"/>
        <v>0</v>
      </c>
      <c r="T106">
        <f t="shared" si="76"/>
        <v>0</v>
      </c>
      <c r="U106">
        <f t="shared" si="77"/>
        <v>0</v>
      </c>
      <c r="V106">
        <f t="shared" si="78"/>
        <v>0</v>
      </c>
      <c r="W106">
        <f t="shared" si="79"/>
        <v>0</v>
      </c>
      <c r="X106">
        <f t="shared" si="80"/>
        <v>0</v>
      </c>
      <c r="Y106">
        <f t="shared" si="81"/>
        <v>0</v>
      </c>
      <c r="AA106">
        <v>50732134</v>
      </c>
      <c r="AB106">
        <f t="shared" si="103"/>
        <v>126.05</v>
      </c>
      <c r="AC106">
        <f>ROUND((ES106),6)</f>
        <v>126.05</v>
      </c>
      <c r="AD106">
        <f>ROUND((((ET106)-(EU106))+AE106),6)</f>
        <v>0</v>
      </c>
      <c r="AE106">
        <f>ROUND((EU106),6)</f>
        <v>0</v>
      </c>
      <c r="AF106">
        <f>ROUND((EV106),6)</f>
        <v>0</v>
      </c>
      <c r="AG106">
        <f t="shared" si="82"/>
        <v>0</v>
      </c>
      <c r="AH106">
        <f>(EW106)</f>
        <v>0</v>
      </c>
      <c r="AI106">
        <f>(EX106)</f>
        <v>0</v>
      </c>
      <c r="AJ106">
        <f t="shared" si="83"/>
        <v>0</v>
      </c>
      <c r="AK106">
        <v>126.05</v>
      </c>
      <c r="AL106">
        <v>126.05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3.16</v>
      </c>
      <c r="BD106" t="s">
        <v>3</v>
      </c>
      <c r="BE106" t="s">
        <v>3</v>
      </c>
      <c r="BF106" t="s">
        <v>3</v>
      </c>
      <c r="BG106" t="s">
        <v>3</v>
      </c>
      <c r="BH106">
        <v>3</v>
      </c>
      <c r="BI106">
        <v>2</v>
      </c>
      <c r="BJ106" t="s">
        <v>243</v>
      </c>
      <c r="BM106">
        <v>1618</v>
      </c>
      <c r="BN106">
        <v>0</v>
      </c>
      <c r="BO106" t="s">
        <v>241</v>
      </c>
      <c r="BP106">
        <v>1</v>
      </c>
      <c r="BQ106">
        <v>201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0</v>
      </c>
      <c r="CA106">
        <v>0</v>
      </c>
      <c r="CB106" t="s">
        <v>3</v>
      </c>
      <c r="CE106">
        <v>30</v>
      </c>
      <c r="CF106">
        <v>0</v>
      </c>
      <c r="CG106">
        <v>0</v>
      </c>
      <c r="CM106">
        <v>0</v>
      </c>
      <c r="CN106" t="s">
        <v>3</v>
      </c>
      <c r="CO106">
        <v>0</v>
      </c>
      <c r="CP106">
        <f t="shared" si="84"/>
        <v>2389.91</v>
      </c>
      <c r="CQ106">
        <f t="shared" si="85"/>
        <v>398.32</v>
      </c>
      <c r="CR106">
        <f>(ROUND((ROUND(((ET106)*AV106*1),2)*BB106),2)+ROUND((ROUND(((AE106-(EU106))*AV106*1),2)*BS106),2))</f>
        <v>0</v>
      </c>
      <c r="CS106">
        <f t="shared" si="86"/>
        <v>0</v>
      </c>
      <c r="CT106">
        <f t="shared" si="87"/>
        <v>0</v>
      </c>
      <c r="CU106">
        <f t="shared" si="88"/>
        <v>0</v>
      </c>
      <c r="CV106">
        <f t="shared" si="89"/>
        <v>0</v>
      </c>
      <c r="CW106">
        <f t="shared" si="90"/>
        <v>0</v>
      </c>
      <c r="CX106">
        <f t="shared" si="91"/>
        <v>0</v>
      </c>
      <c r="CY106">
        <f t="shared" si="92"/>
        <v>0</v>
      </c>
      <c r="CZ106">
        <f t="shared" si="93"/>
        <v>0</v>
      </c>
      <c r="DC106" t="s">
        <v>3</v>
      </c>
      <c r="DD106" t="s">
        <v>3</v>
      </c>
      <c r="DE106" t="s">
        <v>3</v>
      </c>
      <c r="DF106" t="s">
        <v>3</v>
      </c>
      <c r="DG106" t="s">
        <v>3</v>
      </c>
      <c r="DH106" t="s">
        <v>3</v>
      </c>
      <c r="DI106" t="s">
        <v>3</v>
      </c>
      <c r="DJ106" t="s">
        <v>3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1010</v>
      </c>
      <c r="DV106" t="s">
        <v>73</v>
      </c>
      <c r="DW106" t="s">
        <v>73</v>
      </c>
      <c r="DX106">
        <v>1</v>
      </c>
      <c r="DZ106" t="s">
        <v>3</v>
      </c>
      <c r="EA106" t="s">
        <v>3</v>
      </c>
      <c r="EB106" t="s">
        <v>3</v>
      </c>
      <c r="EC106" t="s">
        <v>3</v>
      </c>
      <c r="EE106">
        <v>50003280</v>
      </c>
      <c r="EF106">
        <v>201</v>
      </c>
      <c r="EG106" t="s">
        <v>210</v>
      </c>
      <c r="EH106">
        <v>0</v>
      </c>
      <c r="EI106" t="s">
        <v>3</v>
      </c>
      <c r="EJ106">
        <v>2</v>
      </c>
      <c r="EK106">
        <v>1618</v>
      </c>
      <c r="EL106" t="s">
        <v>211</v>
      </c>
      <c r="EM106" t="s">
        <v>212</v>
      </c>
      <c r="EO106" t="s">
        <v>3</v>
      </c>
      <c r="EQ106">
        <v>0</v>
      </c>
      <c r="ER106">
        <v>126.05</v>
      </c>
      <c r="ES106">
        <v>126.05</v>
      </c>
      <c r="ET106">
        <v>0</v>
      </c>
      <c r="EU106">
        <v>0</v>
      </c>
      <c r="EV106">
        <v>0</v>
      </c>
      <c r="EW106">
        <v>0</v>
      </c>
      <c r="EX106">
        <v>0</v>
      </c>
      <c r="EY106">
        <v>0</v>
      </c>
      <c r="FQ106">
        <v>0</v>
      </c>
      <c r="FR106">
        <f t="shared" si="94"/>
        <v>0</v>
      </c>
      <c r="FS106">
        <v>0</v>
      </c>
      <c r="FX106">
        <v>0</v>
      </c>
      <c r="FY106">
        <v>0</v>
      </c>
      <c r="GA106" t="s">
        <v>3</v>
      </c>
      <c r="GD106">
        <v>0</v>
      </c>
      <c r="GF106">
        <v>-908349585</v>
      </c>
      <c r="GG106">
        <v>2</v>
      </c>
      <c r="GH106">
        <v>1</v>
      </c>
      <c r="GI106">
        <v>2</v>
      </c>
      <c r="GJ106">
        <v>0</v>
      </c>
      <c r="GK106">
        <f>ROUND(R106*(R12)/100,2)</f>
        <v>0</v>
      </c>
      <c r="GL106">
        <f t="shared" si="95"/>
        <v>0</v>
      </c>
      <c r="GM106">
        <f t="shared" si="104"/>
        <v>2389.91</v>
      </c>
      <c r="GN106">
        <f t="shared" si="96"/>
        <v>0</v>
      </c>
      <c r="GO106">
        <f t="shared" si="97"/>
        <v>2389.91</v>
      </c>
      <c r="GP106">
        <f t="shared" si="98"/>
        <v>0</v>
      </c>
      <c r="GR106">
        <v>0</v>
      </c>
      <c r="GS106">
        <v>3</v>
      </c>
      <c r="GT106">
        <v>0</v>
      </c>
      <c r="GU106" t="s">
        <v>3</v>
      </c>
      <c r="GV106">
        <f t="shared" si="99"/>
        <v>0</v>
      </c>
      <c r="GW106">
        <v>1</v>
      </c>
      <c r="GX106">
        <f t="shared" si="100"/>
        <v>0</v>
      </c>
      <c r="HA106">
        <v>0</v>
      </c>
      <c r="HB106">
        <v>0</v>
      </c>
      <c r="HC106">
        <f t="shared" si="101"/>
        <v>0</v>
      </c>
      <c r="HE106" t="s">
        <v>3</v>
      </c>
      <c r="HF106" t="s">
        <v>3</v>
      </c>
      <c r="HM106" t="s">
        <v>3</v>
      </c>
      <c r="HN106" t="s">
        <v>3</v>
      </c>
      <c r="HO106" t="s">
        <v>3</v>
      </c>
      <c r="HP106" t="s">
        <v>3</v>
      </c>
      <c r="HQ106" t="s">
        <v>3</v>
      </c>
      <c r="IK106">
        <v>0</v>
      </c>
    </row>
    <row r="107" spans="1:245" x14ac:dyDescent="0.2">
      <c r="A107">
        <v>17</v>
      </c>
      <c r="B107">
        <v>1</v>
      </c>
      <c r="E107" t="s">
        <v>244</v>
      </c>
      <c r="F107" t="s">
        <v>245</v>
      </c>
      <c r="G107" t="s">
        <v>246</v>
      </c>
      <c r="H107" t="s">
        <v>73</v>
      </c>
      <c r="I107">
        <v>6</v>
      </c>
      <c r="J107">
        <v>0</v>
      </c>
      <c r="K107">
        <v>6</v>
      </c>
      <c r="O107">
        <f t="shared" si="73"/>
        <v>3379.12</v>
      </c>
      <c r="P107">
        <f t="shared" si="74"/>
        <v>3379.12</v>
      </c>
      <c r="Q107">
        <f>(ROUND((ROUND(((ET107)*AV107*I107),2)*BB107),2)+ROUND((ROUND(((AE107-(EU107))*AV107*I107),2)*BS107),2))</f>
        <v>0</v>
      </c>
      <c r="R107">
        <f t="shared" si="75"/>
        <v>0</v>
      </c>
      <c r="S107">
        <f t="shared" si="102"/>
        <v>0</v>
      </c>
      <c r="T107">
        <f t="shared" si="76"/>
        <v>0</v>
      </c>
      <c r="U107">
        <f t="shared" si="77"/>
        <v>0</v>
      </c>
      <c r="V107">
        <f t="shared" si="78"/>
        <v>0</v>
      </c>
      <c r="W107">
        <f t="shared" si="79"/>
        <v>0</v>
      </c>
      <c r="X107">
        <f t="shared" si="80"/>
        <v>0</v>
      </c>
      <c r="Y107">
        <f t="shared" si="81"/>
        <v>0</v>
      </c>
      <c r="AA107">
        <v>50732134</v>
      </c>
      <c r="AB107">
        <f t="shared" si="103"/>
        <v>127.13</v>
      </c>
      <c r="AC107">
        <f>ROUND((ES107),6)</f>
        <v>127.13</v>
      </c>
      <c r="AD107">
        <f>ROUND((((ET107)-(EU107))+AE107),6)</f>
        <v>0</v>
      </c>
      <c r="AE107">
        <f>ROUND((EU107),6)</f>
        <v>0</v>
      </c>
      <c r="AF107">
        <f>ROUND((EV107),6)</f>
        <v>0</v>
      </c>
      <c r="AG107">
        <f t="shared" si="82"/>
        <v>0</v>
      </c>
      <c r="AH107">
        <f>(EW107)</f>
        <v>0</v>
      </c>
      <c r="AI107">
        <f>(EX107)</f>
        <v>0</v>
      </c>
      <c r="AJ107">
        <f t="shared" si="83"/>
        <v>0</v>
      </c>
      <c r="AK107">
        <v>127.13</v>
      </c>
      <c r="AL107">
        <v>127.13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4.43</v>
      </c>
      <c r="BD107" t="s">
        <v>3</v>
      </c>
      <c r="BE107" t="s">
        <v>3</v>
      </c>
      <c r="BF107" t="s">
        <v>3</v>
      </c>
      <c r="BG107" t="s">
        <v>3</v>
      </c>
      <c r="BH107">
        <v>3</v>
      </c>
      <c r="BI107">
        <v>2</v>
      </c>
      <c r="BJ107" t="s">
        <v>247</v>
      </c>
      <c r="BM107">
        <v>1618</v>
      </c>
      <c r="BN107">
        <v>0</v>
      </c>
      <c r="BO107" t="s">
        <v>245</v>
      </c>
      <c r="BP107">
        <v>1</v>
      </c>
      <c r="BQ107">
        <v>201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0</v>
      </c>
      <c r="CA107">
        <v>0</v>
      </c>
      <c r="CB107" t="s">
        <v>3</v>
      </c>
      <c r="CE107">
        <v>30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 t="shared" si="84"/>
        <v>3379.12</v>
      </c>
      <c r="CQ107">
        <f t="shared" si="85"/>
        <v>563.19000000000005</v>
      </c>
      <c r="CR107">
        <f>(ROUND((ROUND(((ET107)*AV107*1),2)*BB107),2)+ROUND((ROUND(((AE107-(EU107))*AV107*1),2)*BS107),2))</f>
        <v>0</v>
      </c>
      <c r="CS107">
        <f t="shared" si="86"/>
        <v>0</v>
      </c>
      <c r="CT107">
        <f t="shared" si="87"/>
        <v>0</v>
      </c>
      <c r="CU107">
        <f t="shared" si="88"/>
        <v>0</v>
      </c>
      <c r="CV107">
        <f t="shared" si="89"/>
        <v>0</v>
      </c>
      <c r="CW107">
        <f t="shared" si="90"/>
        <v>0</v>
      </c>
      <c r="CX107">
        <f t="shared" si="91"/>
        <v>0</v>
      </c>
      <c r="CY107">
        <f t="shared" si="92"/>
        <v>0</v>
      </c>
      <c r="CZ107">
        <f t="shared" si="93"/>
        <v>0</v>
      </c>
      <c r="DC107" t="s">
        <v>3</v>
      </c>
      <c r="DD107" t="s">
        <v>3</v>
      </c>
      <c r="DE107" t="s">
        <v>3</v>
      </c>
      <c r="DF107" t="s">
        <v>3</v>
      </c>
      <c r="DG107" t="s">
        <v>3</v>
      </c>
      <c r="DH107" t="s">
        <v>3</v>
      </c>
      <c r="DI107" t="s">
        <v>3</v>
      </c>
      <c r="DJ107" t="s">
        <v>3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1010</v>
      </c>
      <c r="DV107" t="s">
        <v>73</v>
      </c>
      <c r="DW107" t="s">
        <v>73</v>
      </c>
      <c r="DX107">
        <v>1</v>
      </c>
      <c r="DZ107" t="s">
        <v>3</v>
      </c>
      <c r="EA107" t="s">
        <v>3</v>
      </c>
      <c r="EB107" t="s">
        <v>3</v>
      </c>
      <c r="EC107" t="s">
        <v>3</v>
      </c>
      <c r="EE107">
        <v>50003280</v>
      </c>
      <c r="EF107">
        <v>201</v>
      </c>
      <c r="EG107" t="s">
        <v>210</v>
      </c>
      <c r="EH107">
        <v>0</v>
      </c>
      <c r="EI107" t="s">
        <v>3</v>
      </c>
      <c r="EJ107">
        <v>2</v>
      </c>
      <c r="EK107">
        <v>1618</v>
      </c>
      <c r="EL107" t="s">
        <v>211</v>
      </c>
      <c r="EM107" t="s">
        <v>212</v>
      </c>
      <c r="EO107" t="s">
        <v>3</v>
      </c>
      <c r="EQ107">
        <v>0</v>
      </c>
      <c r="ER107">
        <v>127.13</v>
      </c>
      <c r="ES107">
        <v>127.13</v>
      </c>
      <c r="ET107">
        <v>0</v>
      </c>
      <c r="EU107">
        <v>0</v>
      </c>
      <c r="EV107">
        <v>0</v>
      </c>
      <c r="EW107">
        <v>0</v>
      </c>
      <c r="EX107">
        <v>0</v>
      </c>
      <c r="EY107">
        <v>0</v>
      </c>
      <c r="FQ107">
        <v>0</v>
      </c>
      <c r="FR107">
        <f t="shared" si="94"/>
        <v>0</v>
      </c>
      <c r="FS107">
        <v>0</v>
      </c>
      <c r="FX107">
        <v>0</v>
      </c>
      <c r="FY107">
        <v>0</v>
      </c>
      <c r="GA107" t="s">
        <v>3</v>
      </c>
      <c r="GD107">
        <v>0</v>
      </c>
      <c r="GF107">
        <v>1944675879</v>
      </c>
      <c r="GG107">
        <v>2</v>
      </c>
      <c r="GH107">
        <v>1</v>
      </c>
      <c r="GI107">
        <v>2</v>
      </c>
      <c r="GJ107">
        <v>0</v>
      </c>
      <c r="GK107">
        <f>ROUND(R107*(R12)/100,2)</f>
        <v>0</v>
      </c>
      <c r="GL107">
        <f t="shared" si="95"/>
        <v>0</v>
      </c>
      <c r="GM107">
        <f t="shared" si="104"/>
        <v>3379.12</v>
      </c>
      <c r="GN107">
        <f t="shared" si="96"/>
        <v>0</v>
      </c>
      <c r="GO107">
        <f t="shared" si="97"/>
        <v>3379.12</v>
      </c>
      <c r="GP107">
        <f t="shared" si="98"/>
        <v>0</v>
      </c>
      <c r="GR107">
        <v>0</v>
      </c>
      <c r="GS107">
        <v>3</v>
      </c>
      <c r="GT107">
        <v>0</v>
      </c>
      <c r="GU107" t="s">
        <v>3</v>
      </c>
      <c r="GV107">
        <f t="shared" si="99"/>
        <v>0</v>
      </c>
      <c r="GW107">
        <v>1</v>
      </c>
      <c r="GX107">
        <f t="shared" si="100"/>
        <v>0</v>
      </c>
      <c r="HA107">
        <v>0</v>
      </c>
      <c r="HB107">
        <v>0</v>
      </c>
      <c r="HC107">
        <f t="shared" si="101"/>
        <v>0</v>
      </c>
      <c r="HE107" t="s">
        <v>3</v>
      </c>
      <c r="HF107" t="s">
        <v>3</v>
      </c>
      <c r="HM107" t="s">
        <v>3</v>
      </c>
      <c r="HN107" t="s">
        <v>3</v>
      </c>
      <c r="HO107" t="s">
        <v>3</v>
      </c>
      <c r="HP107" t="s">
        <v>3</v>
      </c>
      <c r="HQ107" t="s">
        <v>3</v>
      </c>
      <c r="IK107">
        <v>0</v>
      </c>
    </row>
    <row r="108" spans="1:245" x14ac:dyDescent="0.2">
      <c r="A108">
        <v>17</v>
      </c>
      <c r="B108">
        <v>1</v>
      </c>
      <c r="E108" t="s">
        <v>248</v>
      </c>
      <c r="F108" t="s">
        <v>249</v>
      </c>
      <c r="G108" t="s">
        <v>250</v>
      </c>
      <c r="H108" t="s">
        <v>251</v>
      </c>
      <c r="I108">
        <f>ROUND(ROUND((1000+1190+140)*10.6*3.14/1000,4),9)</f>
        <v>77.551699999999997</v>
      </c>
      <c r="J108">
        <v>0</v>
      </c>
      <c r="K108">
        <f>ROUND(ROUND((1000+1190+140)*10.6*3.14/1000,4),9)</f>
        <v>77.551699999999997</v>
      </c>
      <c r="O108">
        <f t="shared" si="73"/>
        <v>115515.24</v>
      </c>
      <c r="P108">
        <f t="shared" si="74"/>
        <v>0</v>
      </c>
      <c r="Q108">
        <f>(ROUND((ROUND(((((ET108*1.2)*1.1))*AV108*I108),2)*BB108),2)+ROUND((ROUND(((AE108-(((EU108*1.2)*1.1)))*AV108*I108),2)*BS108),2))</f>
        <v>0</v>
      </c>
      <c r="R108">
        <f t="shared" si="75"/>
        <v>0</v>
      </c>
      <c r="S108">
        <f t="shared" si="102"/>
        <v>115515.24</v>
      </c>
      <c r="T108">
        <f t="shared" si="76"/>
        <v>0</v>
      </c>
      <c r="U108">
        <f t="shared" si="77"/>
        <v>325.82583646272002</v>
      </c>
      <c r="V108">
        <f t="shared" si="78"/>
        <v>0</v>
      </c>
      <c r="W108">
        <f t="shared" si="79"/>
        <v>0</v>
      </c>
      <c r="X108">
        <f t="shared" si="80"/>
        <v>100498.26</v>
      </c>
      <c r="Y108">
        <f t="shared" si="81"/>
        <v>47361.25</v>
      </c>
      <c r="AA108">
        <v>50732134</v>
      </c>
      <c r="AB108">
        <f t="shared" si="103"/>
        <v>46.675199999999997</v>
      </c>
      <c r="AC108">
        <f>ROUND((((ES108*1)*1)),6)</f>
        <v>0</v>
      </c>
      <c r="AD108">
        <f>ROUND((((((ET108*1.2)*1.1))-(((EU108*1.2)*1.1)))+AE108),6)</f>
        <v>0</v>
      </c>
      <c r="AE108">
        <f>ROUND((((EU108*1.2)*1.1)),6)</f>
        <v>0</v>
      </c>
      <c r="AF108">
        <f>ROUND((((EV108*1.2)*1.1)),6)</f>
        <v>46.675199999999997</v>
      </c>
      <c r="AG108">
        <f t="shared" si="82"/>
        <v>0</v>
      </c>
      <c r="AH108">
        <f>(((EW108*1.2)*1.1))</f>
        <v>4.0128000000000004</v>
      </c>
      <c r="AI108">
        <f>(((EX108*1.2)*1.1))</f>
        <v>0</v>
      </c>
      <c r="AJ108">
        <f t="shared" si="83"/>
        <v>0</v>
      </c>
      <c r="AK108">
        <v>35.36</v>
      </c>
      <c r="AL108">
        <v>0</v>
      </c>
      <c r="AM108">
        <v>0</v>
      </c>
      <c r="AN108">
        <v>0</v>
      </c>
      <c r="AO108">
        <v>35.36</v>
      </c>
      <c r="AP108">
        <v>0</v>
      </c>
      <c r="AQ108">
        <v>3.04</v>
      </c>
      <c r="AR108">
        <v>0</v>
      </c>
      <c r="AS108">
        <v>0</v>
      </c>
      <c r="AT108">
        <v>87</v>
      </c>
      <c r="AU108">
        <v>41</v>
      </c>
      <c r="AV108">
        <v>1.0469999999999999</v>
      </c>
      <c r="AW108">
        <v>1</v>
      </c>
      <c r="AZ108">
        <v>1</v>
      </c>
      <c r="BA108">
        <v>30.48</v>
      </c>
      <c r="BB108">
        <v>1</v>
      </c>
      <c r="BC108">
        <v>1</v>
      </c>
      <c r="BD108" t="s">
        <v>3</v>
      </c>
      <c r="BE108" t="s">
        <v>3</v>
      </c>
      <c r="BF108" t="s">
        <v>3</v>
      </c>
      <c r="BG108" t="s">
        <v>3</v>
      </c>
      <c r="BH108">
        <v>0</v>
      </c>
      <c r="BI108">
        <v>1</v>
      </c>
      <c r="BJ108" t="s">
        <v>252</v>
      </c>
      <c r="BM108">
        <v>99</v>
      </c>
      <c r="BN108">
        <v>0</v>
      </c>
      <c r="BO108" t="s">
        <v>249</v>
      </c>
      <c r="BP108">
        <v>1</v>
      </c>
      <c r="BQ108">
        <v>30</v>
      </c>
      <c r="BR108">
        <v>0</v>
      </c>
      <c r="BS108">
        <v>30.48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87</v>
      </c>
      <c r="CA108">
        <v>41</v>
      </c>
      <c r="CB108" t="s">
        <v>3</v>
      </c>
      <c r="CE108">
        <v>30</v>
      </c>
      <c r="CF108">
        <v>0</v>
      </c>
      <c r="CG108">
        <v>0</v>
      </c>
      <c r="CM108">
        <v>0</v>
      </c>
      <c r="CN108" t="s">
        <v>265</v>
      </c>
      <c r="CO108">
        <v>0</v>
      </c>
      <c r="CP108">
        <f t="shared" si="84"/>
        <v>115515.24</v>
      </c>
      <c r="CQ108">
        <f t="shared" si="85"/>
        <v>0</v>
      </c>
      <c r="CR108">
        <f>(ROUND((ROUND(((((ET108*1.2)*1.1))*AV108*1),2)*BB108),2)+ROUND((ROUND(((AE108-(((EU108*1.2)*1.1)))*AV108*1),2)*BS108),2))</f>
        <v>0</v>
      </c>
      <c r="CS108">
        <f t="shared" si="86"/>
        <v>0</v>
      </c>
      <c r="CT108">
        <f t="shared" si="87"/>
        <v>1489.56</v>
      </c>
      <c r="CU108">
        <f t="shared" si="88"/>
        <v>0</v>
      </c>
      <c r="CV108">
        <f t="shared" si="89"/>
        <v>4.2014016000000005</v>
      </c>
      <c r="CW108">
        <f t="shared" si="90"/>
        <v>0</v>
      </c>
      <c r="CX108">
        <f t="shared" si="91"/>
        <v>0</v>
      </c>
      <c r="CY108">
        <f t="shared" si="92"/>
        <v>100498.25880000001</v>
      </c>
      <c r="CZ108">
        <f t="shared" si="93"/>
        <v>47361.248399999997</v>
      </c>
      <c r="DC108" t="s">
        <v>3</v>
      </c>
      <c r="DD108" t="s">
        <v>26</v>
      </c>
      <c r="DE108" t="s">
        <v>27</v>
      </c>
      <c r="DF108" t="s">
        <v>27</v>
      </c>
      <c r="DG108" t="s">
        <v>27</v>
      </c>
      <c r="DH108" t="s">
        <v>3</v>
      </c>
      <c r="DI108" t="s">
        <v>27</v>
      </c>
      <c r="DJ108" t="s">
        <v>27</v>
      </c>
      <c r="DK108" t="s">
        <v>3</v>
      </c>
      <c r="DL108" t="s">
        <v>3</v>
      </c>
      <c r="DM108" t="s">
        <v>3</v>
      </c>
      <c r="DN108">
        <v>105</v>
      </c>
      <c r="DO108">
        <v>77</v>
      </c>
      <c r="DP108">
        <v>1.0469999999999999</v>
      </c>
      <c r="DQ108">
        <v>1</v>
      </c>
      <c r="DU108">
        <v>1013</v>
      </c>
      <c r="DV108" t="s">
        <v>251</v>
      </c>
      <c r="DW108" t="s">
        <v>251</v>
      </c>
      <c r="DX108">
        <v>1</v>
      </c>
      <c r="DZ108" t="s">
        <v>3</v>
      </c>
      <c r="EA108" t="s">
        <v>3</v>
      </c>
      <c r="EB108" t="s">
        <v>3</v>
      </c>
      <c r="EC108" t="s">
        <v>3</v>
      </c>
      <c r="EE108">
        <v>50001761</v>
      </c>
      <c r="EF108">
        <v>30</v>
      </c>
      <c r="EG108" t="s">
        <v>20</v>
      </c>
      <c r="EH108">
        <v>0</v>
      </c>
      <c r="EI108" t="s">
        <v>3</v>
      </c>
      <c r="EJ108">
        <v>1</v>
      </c>
      <c r="EK108">
        <v>99</v>
      </c>
      <c r="EL108" t="s">
        <v>253</v>
      </c>
      <c r="EM108" t="s">
        <v>254</v>
      </c>
      <c r="EO108" t="s">
        <v>31</v>
      </c>
      <c r="EQ108">
        <v>0</v>
      </c>
      <c r="ER108">
        <v>35.36</v>
      </c>
      <c r="ES108">
        <v>0</v>
      </c>
      <c r="ET108">
        <v>0</v>
      </c>
      <c r="EU108">
        <v>0</v>
      </c>
      <c r="EV108">
        <v>35.36</v>
      </c>
      <c r="EW108">
        <v>3.04</v>
      </c>
      <c r="EX108">
        <v>0</v>
      </c>
      <c r="EY108">
        <v>0</v>
      </c>
      <c r="FQ108">
        <v>0</v>
      </c>
      <c r="FR108">
        <f t="shared" si="94"/>
        <v>0</v>
      </c>
      <c r="FS108">
        <v>0</v>
      </c>
      <c r="FX108">
        <v>105</v>
      </c>
      <c r="FY108">
        <v>77</v>
      </c>
      <c r="GA108" t="s">
        <v>3</v>
      </c>
      <c r="GD108">
        <v>0</v>
      </c>
      <c r="GF108">
        <v>568266253</v>
      </c>
      <c r="GG108">
        <v>2</v>
      </c>
      <c r="GH108">
        <v>1</v>
      </c>
      <c r="GI108">
        <v>2</v>
      </c>
      <c r="GJ108">
        <v>0</v>
      </c>
      <c r="GK108">
        <f>ROUND(R108*(R12)/100,2)</f>
        <v>0</v>
      </c>
      <c r="GL108">
        <f t="shared" si="95"/>
        <v>0</v>
      </c>
      <c r="GM108">
        <f t="shared" si="104"/>
        <v>263374.75</v>
      </c>
      <c r="GN108">
        <f t="shared" si="96"/>
        <v>263374.75</v>
      </c>
      <c r="GO108">
        <f t="shared" si="97"/>
        <v>0</v>
      </c>
      <c r="GP108">
        <f t="shared" si="98"/>
        <v>0</v>
      </c>
      <c r="GR108">
        <v>0</v>
      </c>
      <c r="GS108">
        <v>3</v>
      </c>
      <c r="GT108">
        <v>0</v>
      </c>
      <c r="GU108" t="s">
        <v>3</v>
      </c>
      <c r="GV108">
        <f t="shared" si="99"/>
        <v>0</v>
      </c>
      <c r="GW108">
        <v>1</v>
      </c>
      <c r="GX108">
        <f t="shared" si="100"/>
        <v>0</v>
      </c>
      <c r="HA108">
        <v>0</v>
      </c>
      <c r="HB108">
        <v>0</v>
      </c>
      <c r="HC108">
        <f t="shared" si="101"/>
        <v>0</v>
      </c>
      <c r="HE108" t="s">
        <v>3</v>
      </c>
      <c r="HF108" t="s">
        <v>3</v>
      </c>
      <c r="HM108" t="s">
        <v>3</v>
      </c>
      <c r="HN108" t="s">
        <v>3</v>
      </c>
      <c r="HO108" t="s">
        <v>3</v>
      </c>
      <c r="HP108" t="s">
        <v>3</v>
      </c>
      <c r="HQ108" t="s">
        <v>3</v>
      </c>
      <c r="IK108">
        <v>0</v>
      </c>
    </row>
    <row r="109" spans="1:245" x14ac:dyDescent="0.2">
      <c r="A109">
        <v>17</v>
      </c>
      <c r="B109">
        <v>1</v>
      </c>
      <c r="E109" t="s">
        <v>255</v>
      </c>
      <c r="F109" t="s">
        <v>256</v>
      </c>
      <c r="G109" t="s">
        <v>271</v>
      </c>
      <c r="H109" t="s">
        <v>93</v>
      </c>
      <c r="I109">
        <f>ROUND(ROUND((I108*1.5/1000),4),9)</f>
        <v>0.1163</v>
      </c>
      <c r="J109">
        <v>0</v>
      </c>
      <c r="K109">
        <f>ROUND(ROUND((I108*1.5/1000),4),9)</f>
        <v>0.1163</v>
      </c>
      <c r="O109">
        <f t="shared" si="73"/>
        <v>47914.17</v>
      </c>
      <c r="P109">
        <f t="shared" si="74"/>
        <v>47914.17</v>
      </c>
      <c r="Q109">
        <f>(ROUND((ROUND(((ET109)*AV109*I109),2)*BB109),2)+ROUND((ROUND(((AE109-(EU109))*AV109*I109),2)*BS109),2))</f>
        <v>0</v>
      </c>
      <c r="R109">
        <f t="shared" si="75"/>
        <v>0</v>
      </c>
      <c r="S109">
        <f t="shared" si="102"/>
        <v>0</v>
      </c>
      <c r="T109">
        <f t="shared" si="76"/>
        <v>0</v>
      </c>
      <c r="U109">
        <f t="shared" si="77"/>
        <v>0</v>
      </c>
      <c r="V109">
        <f t="shared" si="78"/>
        <v>0</v>
      </c>
      <c r="W109">
        <f t="shared" si="79"/>
        <v>0</v>
      </c>
      <c r="X109">
        <f t="shared" si="80"/>
        <v>0</v>
      </c>
      <c r="Y109">
        <f t="shared" si="81"/>
        <v>0</v>
      </c>
      <c r="AA109">
        <v>50732134</v>
      </c>
      <c r="AB109">
        <f t="shared" si="103"/>
        <v>201954.73</v>
      </c>
      <c r="AC109">
        <f>ROUND((ES109),6)</f>
        <v>201954.73</v>
      </c>
      <c r="AD109">
        <f>ROUND((((ET109)-(EU109))+AE109),6)</f>
        <v>0</v>
      </c>
      <c r="AE109">
        <f>ROUND((EU109),6)</f>
        <v>0</v>
      </c>
      <c r="AF109">
        <f>ROUND((EV109),6)</f>
        <v>0</v>
      </c>
      <c r="AG109">
        <f t="shared" si="82"/>
        <v>0</v>
      </c>
      <c r="AH109">
        <f>(EW109)</f>
        <v>0</v>
      </c>
      <c r="AI109">
        <f>(EX109)</f>
        <v>0</v>
      </c>
      <c r="AJ109">
        <f t="shared" si="83"/>
        <v>0</v>
      </c>
      <c r="AK109">
        <v>201954.73</v>
      </c>
      <c r="AL109">
        <v>201954.73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2.04</v>
      </c>
      <c r="BD109" t="s">
        <v>3</v>
      </c>
      <c r="BE109" t="s">
        <v>3</v>
      </c>
      <c r="BF109" t="s">
        <v>3</v>
      </c>
      <c r="BG109" t="s">
        <v>3</v>
      </c>
      <c r="BH109">
        <v>3</v>
      </c>
      <c r="BI109">
        <v>1</v>
      </c>
      <c r="BJ109" t="s">
        <v>257</v>
      </c>
      <c r="BM109">
        <v>1617</v>
      </c>
      <c r="BN109">
        <v>0</v>
      </c>
      <c r="BO109" t="s">
        <v>256</v>
      </c>
      <c r="BP109">
        <v>1</v>
      </c>
      <c r="BQ109">
        <v>200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0</v>
      </c>
      <c r="CA109">
        <v>0</v>
      </c>
      <c r="CB109" t="s">
        <v>3</v>
      </c>
      <c r="CE109">
        <v>30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 t="shared" si="84"/>
        <v>47914.17</v>
      </c>
      <c r="CQ109">
        <f t="shared" si="85"/>
        <v>411987.65</v>
      </c>
      <c r="CR109">
        <f>(ROUND((ROUND(((ET109)*AV109*1),2)*BB109),2)+ROUND((ROUND(((AE109-(EU109))*AV109*1),2)*BS109),2))</f>
        <v>0</v>
      </c>
      <c r="CS109">
        <f t="shared" si="86"/>
        <v>0</v>
      </c>
      <c r="CT109">
        <f t="shared" si="87"/>
        <v>0</v>
      </c>
      <c r="CU109">
        <f t="shared" si="88"/>
        <v>0</v>
      </c>
      <c r="CV109">
        <f t="shared" si="89"/>
        <v>0</v>
      </c>
      <c r="CW109">
        <f t="shared" si="90"/>
        <v>0</v>
      </c>
      <c r="CX109">
        <f t="shared" si="91"/>
        <v>0</v>
      </c>
      <c r="CY109">
        <f t="shared" si="92"/>
        <v>0</v>
      </c>
      <c r="CZ109">
        <f t="shared" si="93"/>
        <v>0</v>
      </c>
      <c r="DC109" t="s">
        <v>3</v>
      </c>
      <c r="DD109" t="s">
        <v>3</v>
      </c>
      <c r="DE109" t="s">
        <v>3</v>
      </c>
      <c r="DF109" t="s">
        <v>3</v>
      </c>
      <c r="DG109" t="s">
        <v>3</v>
      </c>
      <c r="DH109" t="s">
        <v>3</v>
      </c>
      <c r="DI109" t="s">
        <v>3</v>
      </c>
      <c r="DJ109" t="s">
        <v>3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1009</v>
      </c>
      <c r="DV109" t="s">
        <v>93</v>
      </c>
      <c r="DW109" t="s">
        <v>93</v>
      </c>
      <c r="DX109">
        <v>1000</v>
      </c>
      <c r="DZ109" t="s">
        <v>3</v>
      </c>
      <c r="EA109" t="s">
        <v>3</v>
      </c>
      <c r="EB109" t="s">
        <v>3</v>
      </c>
      <c r="EC109" t="s">
        <v>3</v>
      </c>
      <c r="EE109">
        <v>50003279</v>
      </c>
      <c r="EF109">
        <v>200</v>
      </c>
      <c r="EG109" t="s">
        <v>48</v>
      </c>
      <c r="EH109">
        <v>0</v>
      </c>
      <c r="EI109" t="s">
        <v>3</v>
      </c>
      <c r="EJ109">
        <v>1</v>
      </c>
      <c r="EK109">
        <v>1617</v>
      </c>
      <c r="EL109" t="s">
        <v>49</v>
      </c>
      <c r="EM109" t="s">
        <v>50</v>
      </c>
      <c r="EO109" t="s">
        <v>3</v>
      </c>
      <c r="EQ109">
        <v>0</v>
      </c>
      <c r="ER109">
        <v>201954.73</v>
      </c>
      <c r="ES109">
        <v>201954.73</v>
      </c>
      <c r="ET109">
        <v>0</v>
      </c>
      <c r="EU109">
        <v>0</v>
      </c>
      <c r="EV109">
        <v>0</v>
      </c>
      <c r="EW109">
        <v>0</v>
      </c>
      <c r="EX109">
        <v>0</v>
      </c>
      <c r="EY109">
        <v>0</v>
      </c>
      <c r="FQ109">
        <v>0</v>
      </c>
      <c r="FR109">
        <f t="shared" si="94"/>
        <v>0</v>
      </c>
      <c r="FS109">
        <v>0</v>
      </c>
      <c r="FX109">
        <v>0</v>
      </c>
      <c r="FY109">
        <v>0</v>
      </c>
      <c r="GA109" t="s">
        <v>3</v>
      </c>
      <c r="GD109">
        <v>0</v>
      </c>
      <c r="GF109">
        <v>-1191876389</v>
      </c>
      <c r="GG109">
        <v>2</v>
      </c>
      <c r="GH109">
        <v>1</v>
      </c>
      <c r="GI109">
        <v>2</v>
      </c>
      <c r="GJ109">
        <v>0</v>
      </c>
      <c r="GK109">
        <f>ROUND(R109*(R12)/100,2)</f>
        <v>0</v>
      </c>
      <c r="GL109">
        <f t="shared" si="95"/>
        <v>0</v>
      </c>
      <c r="GM109">
        <f t="shared" si="104"/>
        <v>47914.17</v>
      </c>
      <c r="GN109">
        <f t="shared" si="96"/>
        <v>47914.17</v>
      </c>
      <c r="GO109">
        <f t="shared" si="97"/>
        <v>0</v>
      </c>
      <c r="GP109">
        <f t="shared" si="98"/>
        <v>0</v>
      </c>
      <c r="GR109">
        <v>0</v>
      </c>
      <c r="GS109">
        <v>3</v>
      </c>
      <c r="GT109">
        <v>0</v>
      </c>
      <c r="GU109" t="s">
        <v>3</v>
      </c>
      <c r="GV109">
        <f t="shared" si="99"/>
        <v>0</v>
      </c>
      <c r="GW109">
        <v>1</v>
      </c>
      <c r="GX109">
        <f t="shared" si="100"/>
        <v>0</v>
      </c>
      <c r="HA109">
        <v>0</v>
      </c>
      <c r="HB109">
        <v>0</v>
      </c>
      <c r="HC109">
        <f t="shared" si="101"/>
        <v>0</v>
      </c>
      <c r="HE109" t="s">
        <v>3</v>
      </c>
      <c r="HF109" t="s">
        <v>3</v>
      </c>
      <c r="HM109" t="s">
        <v>3</v>
      </c>
      <c r="HN109" t="s">
        <v>3</v>
      </c>
      <c r="HO109" t="s">
        <v>3</v>
      </c>
      <c r="HP109" t="s">
        <v>3</v>
      </c>
      <c r="HQ109" t="s">
        <v>3</v>
      </c>
      <c r="IK109">
        <v>0</v>
      </c>
    </row>
    <row r="111" spans="1:245" x14ac:dyDescent="0.2">
      <c r="A111" s="2">
        <v>51</v>
      </c>
      <c r="B111" s="2">
        <f>B92</f>
        <v>1</v>
      </c>
      <c r="C111" s="2">
        <f>A92</f>
        <v>5</v>
      </c>
      <c r="D111" s="2">
        <f>ROW(A92)</f>
        <v>92</v>
      </c>
      <c r="E111" s="2"/>
      <c r="F111" s="2" t="str">
        <f>IF(F92&lt;&gt;"",F92,"")</f>
        <v>Новый подраздел</v>
      </c>
      <c r="G111" s="2" t="str">
        <f>IF(G92&lt;&gt;"",G92,"")</f>
        <v>Монтажные работы</v>
      </c>
      <c r="H111" s="2">
        <v>0</v>
      </c>
      <c r="I111" s="2"/>
      <c r="J111" s="2"/>
      <c r="K111" s="2"/>
      <c r="L111" s="2"/>
      <c r="M111" s="2"/>
      <c r="N111" s="2"/>
      <c r="O111" s="2">
        <f t="shared" ref="O111:T111" si="105">ROUND(AB111,2)</f>
        <v>515634.36</v>
      </c>
      <c r="P111" s="2">
        <f t="shared" si="105"/>
        <v>361282.89</v>
      </c>
      <c r="Q111" s="2">
        <f t="shared" si="105"/>
        <v>1096.5</v>
      </c>
      <c r="R111" s="2">
        <f t="shared" si="105"/>
        <v>8.23</v>
      </c>
      <c r="S111" s="2">
        <f t="shared" si="105"/>
        <v>153254.97</v>
      </c>
      <c r="T111" s="2">
        <f t="shared" si="105"/>
        <v>0</v>
      </c>
      <c r="U111" s="2">
        <f>AH111</f>
        <v>389.91705091508402</v>
      </c>
      <c r="V111" s="2">
        <f>AI111</f>
        <v>0</v>
      </c>
      <c r="W111" s="2">
        <f>ROUND(AJ111,2)</f>
        <v>0</v>
      </c>
      <c r="X111" s="2">
        <f>ROUND(AK111,2)</f>
        <v>135218.81</v>
      </c>
      <c r="Y111" s="2">
        <f>ROUND(AL111,2)</f>
        <v>62865.279999999999</v>
      </c>
      <c r="Z111" s="2"/>
      <c r="AA111" s="2"/>
      <c r="AB111" s="2">
        <f>ROUND(SUMIF(AA96:AA109,"=50732134",O96:O109),2)</f>
        <v>515634.36</v>
      </c>
      <c r="AC111" s="2">
        <f>ROUND(SUMIF(AA96:AA109,"=50732134",P96:P109),2)</f>
        <v>361282.89</v>
      </c>
      <c r="AD111" s="2">
        <f>ROUND(SUMIF(AA96:AA109,"=50732134",Q96:Q109),2)</f>
        <v>1096.5</v>
      </c>
      <c r="AE111" s="2">
        <f>ROUND(SUMIF(AA96:AA109,"=50732134",R96:R109),2)</f>
        <v>8.23</v>
      </c>
      <c r="AF111" s="2">
        <f>ROUND(SUMIF(AA96:AA109,"=50732134",S96:S109),2)</f>
        <v>153254.97</v>
      </c>
      <c r="AG111" s="2">
        <f>ROUND(SUMIF(AA96:AA109,"=50732134",T96:T109),2)</f>
        <v>0</v>
      </c>
      <c r="AH111" s="2">
        <f>SUMIF(AA96:AA109,"=50732134",U96:U109)</f>
        <v>389.91705091508402</v>
      </c>
      <c r="AI111" s="2">
        <f>SUMIF(AA96:AA109,"=50732134",V96:V109)</f>
        <v>0</v>
      </c>
      <c r="AJ111" s="2">
        <f>ROUND(SUMIF(AA96:AA109,"=50732134",W96:W109),2)</f>
        <v>0</v>
      </c>
      <c r="AK111" s="2">
        <f>ROUND(SUMIF(AA96:AA109,"=50732134",X96:X109),2)</f>
        <v>135218.81</v>
      </c>
      <c r="AL111" s="2">
        <f>ROUND(SUMIF(AA96:AA109,"=50732134",Y96:Y109),2)</f>
        <v>62865.279999999999</v>
      </c>
      <c r="AM111" s="2"/>
      <c r="AN111" s="2"/>
      <c r="AO111" s="2">
        <f t="shared" ref="AO111:BD111" si="106">ROUND(BX111,2)</f>
        <v>0</v>
      </c>
      <c r="AP111" s="2">
        <f t="shared" si="106"/>
        <v>0</v>
      </c>
      <c r="AQ111" s="2">
        <f t="shared" si="106"/>
        <v>0</v>
      </c>
      <c r="AR111" s="2">
        <f t="shared" si="106"/>
        <v>1445544.35</v>
      </c>
      <c r="AS111" s="2">
        <f t="shared" si="106"/>
        <v>311288.92</v>
      </c>
      <c r="AT111" s="2">
        <f t="shared" si="106"/>
        <v>1134255.43</v>
      </c>
      <c r="AU111" s="2">
        <f t="shared" si="106"/>
        <v>0</v>
      </c>
      <c r="AV111" s="2">
        <f t="shared" si="106"/>
        <v>361282.89</v>
      </c>
      <c r="AW111" s="2">
        <f t="shared" si="106"/>
        <v>361282.89</v>
      </c>
      <c r="AX111" s="2">
        <f t="shared" si="106"/>
        <v>0</v>
      </c>
      <c r="AY111" s="2">
        <f t="shared" si="106"/>
        <v>361282.89</v>
      </c>
      <c r="AZ111" s="2">
        <f t="shared" si="106"/>
        <v>0</v>
      </c>
      <c r="BA111" s="2">
        <f t="shared" si="106"/>
        <v>0</v>
      </c>
      <c r="BB111" s="2">
        <f t="shared" si="106"/>
        <v>241730.98</v>
      </c>
      <c r="BC111" s="2">
        <f t="shared" si="106"/>
        <v>490081.75</v>
      </c>
      <c r="BD111" s="2">
        <f t="shared" si="106"/>
        <v>0</v>
      </c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>
        <f>ROUND(SUMIF(AA96:AA109,"=50732134",FQ96:FQ109),2)</f>
        <v>0</v>
      </c>
      <c r="BY111" s="2">
        <f>ROUND(SUMIF(AA96:AA109,"=50732134",FR96:FR109),2)</f>
        <v>0</v>
      </c>
      <c r="BZ111" s="2">
        <f>ROUND(SUMIF(AA96:AA109,"=50732134",GL96:GL109),2)</f>
        <v>0</v>
      </c>
      <c r="CA111" s="2">
        <f>ROUND(SUMIF(AA96:AA109,"=50732134",GM96:GM109),2)</f>
        <v>1445544.35</v>
      </c>
      <c r="CB111" s="2">
        <f>ROUND(SUMIF(AA96:AA109,"=50732134",GN96:GN109),2)</f>
        <v>311288.92</v>
      </c>
      <c r="CC111" s="2">
        <f>ROUND(SUMIF(AA96:AA109,"=50732134",GO96:GO109),2)</f>
        <v>1134255.43</v>
      </c>
      <c r="CD111" s="2">
        <f>ROUND(SUMIF(AA96:AA109,"=50732134",GP96:GP109),2)</f>
        <v>0</v>
      </c>
      <c r="CE111" s="2">
        <f>AC111-BX111</f>
        <v>361282.89</v>
      </c>
      <c r="CF111" s="2">
        <f>AC111-BY111</f>
        <v>361282.89</v>
      </c>
      <c r="CG111" s="2">
        <f>BX111-BZ111</f>
        <v>0</v>
      </c>
      <c r="CH111" s="2">
        <f>AC111-BX111-BY111+BZ111</f>
        <v>361282.89</v>
      </c>
      <c r="CI111" s="2">
        <f>BY111-BZ111</f>
        <v>0</v>
      </c>
      <c r="CJ111" s="2">
        <f>ROUND(SUMIF(AA96:AA109,"=50732134",GX96:GX109),2)</f>
        <v>0</v>
      </c>
      <c r="CK111" s="2">
        <f>ROUND(SUMIF(AA96:AA109,"=50732134",GY96:GY109),2)</f>
        <v>241730.98</v>
      </c>
      <c r="CL111" s="2">
        <f>ROUND(SUMIF(AA96:AA109,"=50732134",GZ96:GZ109),2)</f>
        <v>490081.75</v>
      </c>
      <c r="CM111" s="2">
        <f>ROUND(SUMIF(AA96:AA109,"=50732134",HD96:HD109),2)</f>
        <v>0</v>
      </c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>
        <v>0</v>
      </c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201</v>
      </c>
      <c r="F113" s="4">
        <f>ROUND(Source!O111,O113)</f>
        <v>515634.36</v>
      </c>
      <c r="G113" s="4" t="s">
        <v>142</v>
      </c>
      <c r="H113" s="4" t="s">
        <v>143</v>
      </c>
      <c r="I113" s="4"/>
      <c r="J113" s="4"/>
      <c r="K113" s="4">
        <v>201</v>
      </c>
      <c r="L113" s="4">
        <v>1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515634.36</v>
      </c>
      <c r="X113" s="4">
        <v>1</v>
      </c>
      <c r="Y113" s="4">
        <v>515634.36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202</v>
      </c>
      <c r="F114" s="4">
        <f>ROUND(Source!P111,O114)</f>
        <v>361282.89</v>
      </c>
      <c r="G114" s="4" t="s">
        <v>144</v>
      </c>
      <c r="H114" s="4" t="s">
        <v>145</v>
      </c>
      <c r="I114" s="4"/>
      <c r="J114" s="4"/>
      <c r="K114" s="4">
        <v>202</v>
      </c>
      <c r="L114" s="4">
        <v>2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361282.89</v>
      </c>
      <c r="X114" s="4">
        <v>1</v>
      </c>
      <c r="Y114" s="4">
        <v>361282.89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222</v>
      </c>
      <c r="F115" s="4">
        <f>ROUND(Source!AO111,O115)</f>
        <v>0</v>
      </c>
      <c r="G115" s="4" t="s">
        <v>146</v>
      </c>
      <c r="H115" s="4" t="s">
        <v>147</v>
      </c>
      <c r="I115" s="4"/>
      <c r="J115" s="4"/>
      <c r="K115" s="4">
        <v>222</v>
      </c>
      <c r="L115" s="4">
        <v>3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225</v>
      </c>
      <c r="F116" s="4">
        <f>ROUND(Source!AV111,O116)</f>
        <v>361282.89</v>
      </c>
      <c r="G116" s="4" t="s">
        <v>148</v>
      </c>
      <c r="H116" s="4" t="s">
        <v>149</v>
      </c>
      <c r="I116" s="4"/>
      <c r="J116" s="4"/>
      <c r="K116" s="4">
        <v>225</v>
      </c>
      <c r="L116" s="4">
        <v>4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361282.89</v>
      </c>
      <c r="X116" s="4">
        <v>1</v>
      </c>
      <c r="Y116" s="4">
        <v>361282.89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226</v>
      </c>
      <c r="F117" s="4">
        <f>ROUND(Source!AW111,O117)</f>
        <v>361282.89</v>
      </c>
      <c r="G117" s="4" t="s">
        <v>150</v>
      </c>
      <c r="H117" s="4" t="s">
        <v>151</v>
      </c>
      <c r="I117" s="4"/>
      <c r="J117" s="4"/>
      <c r="K117" s="4">
        <v>226</v>
      </c>
      <c r="L117" s="4">
        <v>5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361282.89</v>
      </c>
      <c r="X117" s="4">
        <v>1</v>
      </c>
      <c r="Y117" s="4">
        <v>361282.89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1</v>
      </c>
      <c r="E118" s="4">
        <v>227</v>
      </c>
      <c r="F118" s="4">
        <f>ROUND(Source!AX111,O118)</f>
        <v>0</v>
      </c>
      <c r="G118" s="4" t="s">
        <v>152</v>
      </c>
      <c r="H118" s="4" t="s">
        <v>153</v>
      </c>
      <c r="I118" s="4"/>
      <c r="J118" s="4"/>
      <c r="K118" s="4">
        <v>227</v>
      </c>
      <c r="L118" s="4">
        <v>6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0</v>
      </c>
      <c r="C119" s="4">
        <v>0</v>
      </c>
      <c r="D119" s="4">
        <v>1</v>
      </c>
      <c r="E119" s="4">
        <v>228</v>
      </c>
      <c r="F119" s="4">
        <f>ROUND(Source!AY111,O119)</f>
        <v>361282.89</v>
      </c>
      <c r="G119" s="4" t="s">
        <v>154</v>
      </c>
      <c r="H119" s="4" t="s">
        <v>155</v>
      </c>
      <c r="I119" s="4"/>
      <c r="J119" s="4"/>
      <c r="K119" s="4">
        <v>228</v>
      </c>
      <c r="L119" s="4">
        <v>7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361282.89</v>
      </c>
      <c r="X119" s="4">
        <v>1</v>
      </c>
      <c r="Y119" s="4">
        <v>361282.89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216</v>
      </c>
      <c r="F120" s="4">
        <f>ROUND(Source!AP111,O120)</f>
        <v>0</v>
      </c>
      <c r="G120" s="4" t="s">
        <v>156</v>
      </c>
      <c r="H120" s="4" t="s">
        <v>157</v>
      </c>
      <c r="I120" s="4"/>
      <c r="J120" s="4"/>
      <c r="K120" s="4">
        <v>216</v>
      </c>
      <c r="L120" s="4">
        <v>8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 x14ac:dyDescent="0.2">
      <c r="A121" s="4">
        <v>50</v>
      </c>
      <c r="B121" s="4">
        <v>0</v>
      </c>
      <c r="C121" s="4">
        <v>0</v>
      </c>
      <c r="D121" s="4">
        <v>1</v>
      </c>
      <c r="E121" s="4">
        <v>223</v>
      </c>
      <c r="F121" s="4">
        <f>ROUND(Source!AQ111,O121)</f>
        <v>0</v>
      </c>
      <c r="G121" s="4" t="s">
        <v>158</v>
      </c>
      <c r="H121" s="4" t="s">
        <v>159</v>
      </c>
      <c r="I121" s="4"/>
      <c r="J121" s="4"/>
      <c r="K121" s="4">
        <v>223</v>
      </c>
      <c r="L121" s="4">
        <v>9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8" x14ac:dyDescent="0.2">
      <c r="A122" s="4">
        <v>50</v>
      </c>
      <c r="B122" s="4">
        <v>0</v>
      </c>
      <c r="C122" s="4">
        <v>0</v>
      </c>
      <c r="D122" s="4">
        <v>1</v>
      </c>
      <c r="E122" s="4">
        <v>229</v>
      </c>
      <c r="F122" s="4">
        <f>ROUND(Source!AZ111,O122)</f>
        <v>0</v>
      </c>
      <c r="G122" s="4" t="s">
        <v>160</v>
      </c>
      <c r="H122" s="4" t="s">
        <v>161</v>
      </c>
      <c r="I122" s="4"/>
      <c r="J122" s="4"/>
      <c r="K122" s="4">
        <v>229</v>
      </c>
      <c r="L122" s="4">
        <v>10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x14ac:dyDescent="0.2">
      <c r="A123" s="4">
        <v>50</v>
      </c>
      <c r="B123" s="4">
        <v>0</v>
      </c>
      <c r="C123" s="4">
        <v>0</v>
      </c>
      <c r="D123" s="4">
        <v>1</v>
      </c>
      <c r="E123" s="4">
        <v>203</v>
      </c>
      <c r="F123" s="4">
        <f>ROUND(Source!Q111,O123)</f>
        <v>1096.5</v>
      </c>
      <c r="G123" s="4" t="s">
        <v>162</v>
      </c>
      <c r="H123" s="4" t="s">
        <v>163</v>
      </c>
      <c r="I123" s="4"/>
      <c r="J123" s="4"/>
      <c r="K123" s="4">
        <v>203</v>
      </c>
      <c r="L123" s="4">
        <v>11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1096.5</v>
      </c>
      <c r="X123" s="4">
        <v>1</v>
      </c>
      <c r="Y123" s="4">
        <v>1096.5</v>
      </c>
      <c r="Z123" s="4"/>
      <c r="AA123" s="4"/>
      <c r="AB123" s="4"/>
    </row>
    <row r="124" spans="1:28" x14ac:dyDescent="0.2">
      <c r="A124" s="4">
        <v>50</v>
      </c>
      <c r="B124" s="4">
        <v>0</v>
      </c>
      <c r="C124" s="4">
        <v>0</v>
      </c>
      <c r="D124" s="4">
        <v>1</v>
      </c>
      <c r="E124" s="4">
        <v>231</v>
      </c>
      <c r="F124" s="4">
        <f>ROUND(Source!BB111,O124)</f>
        <v>241730.98</v>
      </c>
      <c r="G124" s="4" t="s">
        <v>164</v>
      </c>
      <c r="H124" s="4" t="s">
        <v>165</v>
      </c>
      <c r="I124" s="4"/>
      <c r="J124" s="4"/>
      <c r="K124" s="4">
        <v>231</v>
      </c>
      <c r="L124" s="4">
        <v>12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241730.98</v>
      </c>
      <c r="X124" s="4">
        <v>1</v>
      </c>
      <c r="Y124" s="4">
        <v>241730.98</v>
      </c>
      <c r="Z124" s="4"/>
      <c r="AA124" s="4"/>
      <c r="AB124" s="4"/>
    </row>
    <row r="125" spans="1:28" x14ac:dyDescent="0.2">
      <c r="A125" s="4">
        <v>50</v>
      </c>
      <c r="B125" s="4">
        <v>0</v>
      </c>
      <c r="C125" s="4">
        <v>0</v>
      </c>
      <c r="D125" s="4">
        <v>1</v>
      </c>
      <c r="E125" s="4">
        <v>204</v>
      </c>
      <c r="F125" s="4">
        <f>ROUND(Source!R111,O125)</f>
        <v>8.23</v>
      </c>
      <c r="G125" s="4" t="s">
        <v>166</v>
      </c>
      <c r="H125" s="4" t="s">
        <v>167</v>
      </c>
      <c r="I125" s="4"/>
      <c r="J125" s="4"/>
      <c r="K125" s="4">
        <v>204</v>
      </c>
      <c r="L125" s="4">
        <v>13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8.23</v>
      </c>
      <c r="X125" s="4">
        <v>1</v>
      </c>
      <c r="Y125" s="4">
        <v>8.23</v>
      </c>
      <c r="Z125" s="4"/>
      <c r="AA125" s="4"/>
      <c r="AB125" s="4"/>
    </row>
    <row r="126" spans="1:28" x14ac:dyDescent="0.2">
      <c r="A126" s="4">
        <v>50</v>
      </c>
      <c r="B126" s="4">
        <v>0</v>
      </c>
      <c r="C126" s="4">
        <v>0</v>
      </c>
      <c r="D126" s="4">
        <v>1</v>
      </c>
      <c r="E126" s="4">
        <v>205</v>
      </c>
      <c r="F126" s="4">
        <f>ROUND(Source!S111,O126)</f>
        <v>153254.97</v>
      </c>
      <c r="G126" s="4" t="s">
        <v>168</v>
      </c>
      <c r="H126" s="4" t="s">
        <v>169</v>
      </c>
      <c r="I126" s="4"/>
      <c r="J126" s="4"/>
      <c r="K126" s="4">
        <v>205</v>
      </c>
      <c r="L126" s="4">
        <v>14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153254.97</v>
      </c>
      <c r="X126" s="4">
        <v>1</v>
      </c>
      <c r="Y126" s="4">
        <v>153254.97</v>
      </c>
      <c r="Z126" s="4"/>
      <c r="AA126" s="4"/>
      <c r="AB126" s="4"/>
    </row>
    <row r="127" spans="1:28" x14ac:dyDescent="0.2">
      <c r="A127" s="4">
        <v>50</v>
      </c>
      <c r="B127" s="4">
        <v>0</v>
      </c>
      <c r="C127" s="4">
        <v>0</v>
      </c>
      <c r="D127" s="4">
        <v>1</v>
      </c>
      <c r="E127" s="4">
        <v>232</v>
      </c>
      <c r="F127" s="4">
        <f>ROUND(Source!BC111,O127)</f>
        <v>490081.75</v>
      </c>
      <c r="G127" s="4" t="s">
        <v>170</v>
      </c>
      <c r="H127" s="4" t="s">
        <v>171</v>
      </c>
      <c r="I127" s="4"/>
      <c r="J127" s="4"/>
      <c r="K127" s="4">
        <v>232</v>
      </c>
      <c r="L127" s="4">
        <v>15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490081.75</v>
      </c>
      <c r="X127" s="4">
        <v>1</v>
      </c>
      <c r="Y127" s="4">
        <v>490081.75</v>
      </c>
      <c r="Z127" s="4"/>
      <c r="AA127" s="4"/>
      <c r="AB127" s="4"/>
    </row>
    <row r="128" spans="1:28" x14ac:dyDescent="0.2">
      <c r="A128" s="4">
        <v>50</v>
      </c>
      <c r="B128" s="4">
        <v>0</v>
      </c>
      <c r="C128" s="4">
        <v>0</v>
      </c>
      <c r="D128" s="4">
        <v>1</v>
      </c>
      <c r="E128" s="4">
        <v>214</v>
      </c>
      <c r="F128" s="4">
        <f>ROUND(Source!AS111,O128)</f>
        <v>311288.92</v>
      </c>
      <c r="G128" s="4" t="s">
        <v>172</v>
      </c>
      <c r="H128" s="4" t="s">
        <v>173</v>
      </c>
      <c r="I128" s="4"/>
      <c r="J128" s="4"/>
      <c r="K128" s="4">
        <v>214</v>
      </c>
      <c r="L128" s="4">
        <v>16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311288.92</v>
      </c>
      <c r="X128" s="4">
        <v>1</v>
      </c>
      <c r="Y128" s="4">
        <v>311288.92</v>
      </c>
      <c r="Z128" s="4"/>
      <c r="AA128" s="4"/>
      <c r="AB128" s="4"/>
    </row>
    <row r="129" spans="1:206" x14ac:dyDescent="0.2">
      <c r="A129" s="4">
        <v>50</v>
      </c>
      <c r="B129" s="4">
        <v>0</v>
      </c>
      <c r="C129" s="4">
        <v>0</v>
      </c>
      <c r="D129" s="4">
        <v>1</v>
      </c>
      <c r="E129" s="4">
        <v>215</v>
      </c>
      <c r="F129" s="4">
        <f>ROUND(Source!AT111,O129)</f>
        <v>1134255.43</v>
      </c>
      <c r="G129" s="4" t="s">
        <v>174</v>
      </c>
      <c r="H129" s="4" t="s">
        <v>175</v>
      </c>
      <c r="I129" s="4"/>
      <c r="J129" s="4"/>
      <c r="K129" s="4">
        <v>215</v>
      </c>
      <c r="L129" s="4">
        <v>17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1134255.43</v>
      </c>
      <c r="X129" s="4">
        <v>1</v>
      </c>
      <c r="Y129" s="4">
        <v>1134255.43</v>
      </c>
      <c r="Z129" s="4"/>
      <c r="AA129" s="4"/>
      <c r="AB129" s="4"/>
    </row>
    <row r="130" spans="1:206" x14ac:dyDescent="0.2">
      <c r="A130" s="4">
        <v>50</v>
      </c>
      <c r="B130" s="4">
        <v>0</v>
      </c>
      <c r="C130" s="4">
        <v>0</v>
      </c>
      <c r="D130" s="4">
        <v>1</v>
      </c>
      <c r="E130" s="4">
        <v>217</v>
      </c>
      <c r="F130" s="4">
        <f>ROUND(Source!AU111,O130)</f>
        <v>0</v>
      </c>
      <c r="G130" s="4" t="s">
        <v>176</v>
      </c>
      <c r="H130" s="4" t="s">
        <v>177</v>
      </c>
      <c r="I130" s="4"/>
      <c r="J130" s="4"/>
      <c r="K130" s="4">
        <v>217</v>
      </c>
      <c r="L130" s="4">
        <v>18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06" x14ac:dyDescent="0.2">
      <c r="A131" s="4">
        <v>50</v>
      </c>
      <c r="B131" s="4">
        <v>0</v>
      </c>
      <c r="C131" s="4">
        <v>0</v>
      </c>
      <c r="D131" s="4">
        <v>1</v>
      </c>
      <c r="E131" s="4">
        <v>230</v>
      </c>
      <c r="F131" s="4">
        <f>ROUND(Source!BA111,O131)</f>
        <v>0</v>
      </c>
      <c r="G131" s="4" t="s">
        <v>178</v>
      </c>
      <c r="H131" s="4" t="s">
        <v>179</v>
      </c>
      <c r="I131" s="4"/>
      <c r="J131" s="4"/>
      <c r="K131" s="4">
        <v>230</v>
      </c>
      <c r="L131" s="4">
        <v>19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206</v>
      </c>
      <c r="F132" s="4">
        <f>ROUND(Source!T111,O132)</f>
        <v>0</v>
      </c>
      <c r="G132" s="4" t="s">
        <v>180</v>
      </c>
      <c r="H132" s="4" t="s">
        <v>181</v>
      </c>
      <c r="I132" s="4"/>
      <c r="J132" s="4"/>
      <c r="K132" s="4">
        <v>206</v>
      </c>
      <c r="L132" s="4">
        <v>20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06" x14ac:dyDescent="0.2">
      <c r="A133" s="4">
        <v>50</v>
      </c>
      <c r="B133" s="4">
        <v>0</v>
      </c>
      <c r="C133" s="4">
        <v>0</v>
      </c>
      <c r="D133" s="4">
        <v>1</v>
      </c>
      <c r="E133" s="4">
        <v>207</v>
      </c>
      <c r="F133" s="4">
        <f>Source!U111</f>
        <v>389.91705091508402</v>
      </c>
      <c r="G133" s="4" t="s">
        <v>182</v>
      </c>
      <c r="H133" s="4" t="s">
        <v>183</v>
      </c>
      <c r="I133" s="4"/>
      <c r="J133" s="4"/>
      <c r="K133" s="4">
        <v>207</v>
      </c>
      <c r="L133" s="4">
        <v>21</v>
      </c>
      <c r="M133" s="4">
        <v>3</v>
      </c>
      <c r="N133" s="4" t="s">
        <v>3</v>
      </c>
      <c r="O133" s="4">
        <v>-1</v>
      </c>
      <c r="P133" s="4"/>
      <c r="Q133" s="4"/>
      <c r="R133" s="4"/>
      <c r="S133" s="4"/>
      <c r="T133" s="4"/>
      <c r="U133" s="4"/>
      <c r="V133" s="4"/>
      <c r="W133" s="4">
        <v>389.91705091508402</v>
      </c>
      <c r="X133" s="4">
        <v>1</v>
      </c>
      <c r="Y133" s="4">
        <v>389.91705091508402</v>
      </c>
      <c r="Z133" s="4"/>
      <c r="AA133" s="4"/>
      <c r="AB133" s="4"/>
    </row>
    <row r="134" spans="1:206" x14ac:dyDescent="0.2">
      <c r="A134" s="4">
        <v>50</v>
      </c>
      <c r="B134" s="4">
        <v>0</v>
      </c>
      <c r="C134" s="4">
        <v>0</v>
      </c>
      <c r="D134" s="4">
        <v>1</v>
      </c>
      <c r="E134" s="4">
        <v>208</v>
      </c>
      <c r="F134" s="4">
        <f>Source!V111</f>
        <v>0</v>
      </c>
      <c r="G134" s="4" t="s">
        <v>184</v>
      </c>
      <c r="H134" s="4" t="s">
        <v>185</v>
      </c>
      <c r="I134" s="4"/>
      <c r="J134" s="4"/>
      <c r="K134" s="4">
        <v>208</v>
      </c>
      <c r="L134" s="4">
        <v>22</v>
      </c>
      <c r="M134" s="4">
        <v>3</v>
      </c>
      <c r="N134" s="4" t="s">
        <v>3</v>
      </c>
      <c r="O134" s="4">
        <v>-1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06" x14ac:dyDescent="0.2">
      <c r="A135" s="4">
        <v>50</v>
      </c>
      <c r="B135" s="4">
        <v>0</v>
      </c>
      <c r="C135" s="4">
        <v>0</v>
      </c>
      <c r="D135" s="4">
        <v>1</v>
      </c>
      <c r="E135" s="4">
        <v>209</v>
      </c>
      <c r="F135" s="4">
        <f>ROUND(Source!W111,O135)</f>
        <v>0</v>
      </c>
      <c r="G135" s="4" t="s">
        <v>186</v>
      </c>
      <c r="H135" s="4" t="s">
        <v>187</v>
      </c>
      <c r="I135" s="4"/>
      <c r="J135" s="4"/>
      <c r="K135" s="4">
        <v>209</v>
      </c>
      <c r="L135" s="4">
        <v>23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06" x14ac:dyDescent="0.2">
      <c r="A136" s="4">
        <v>50</v>
      </c>
      <c r="B136" s="4">
        <v>0</v>
      </c>
      <c r="C136" s="4">
        <v>0</v>
      </c>
      <c r="D136" s="4">
        <v>1</v>
      </c>
      <c r="E136" s="4">
        <v>233</v>
      </c>
      <c r="F136" s="4">
        <f>ROUND(Source!BD111,O136)</f>
        <v>0</v>
      </c>
      <c r="G136" s="4" t="s">
        <v>188</v>
      </c>
      <c r="H136" s="4" t="s">
        <v>189</v>
      </c>
      <c r="I136" s="4"/>
      <c r="J136" s="4"/>
      <c r="K136" s="4">
        <v>233</v>
      </c>
      <c r="L136" s="4">
        <v>24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210</v>
      </c>
      <c r="F137" s="4">
        <f>ROUND(Source!X111,O137)</f>
        <v>135218.81</v>
      </c>
      <c r="G137" s="4" t="s">
        <v>190</v>
      </c>
      <c r="H137" s="4" t="s">
        <v>191</v>
      </c>
      <c r="I137" s="4"/>
      <c r="J137" s="4"/>
      <c r="K137" s="4">
        <v>210</v>
      </c>
      <c r="L137" s="4">
        <v>25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135218.81</v>
      </c>
      <c r="X137" s="4">
        <v>1</v>
      </c>
      <c r="Y137" s="4">
        <v>135218.81</v>
      </c>
      <c r="Z137" s="4"/>
      <c r="AA137" s="4"/>
      <c r="AB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211</v>
      </c>
      <c r="F138" s="4">
        <f>ROUND(Source!Y111,O138)</f>
        <v>62865.279999999999</v>
      </c>
      <c r="G138" s="4" t="s">
        <v>192</v>
      </c>
      <c r="H138" s="4" t="s">
        <v>193</v>
      </c>
      <c r="I138" s="4"/>
      <c r="J138" s="4"/>
      <c r="K138" s="4">
        <v>211</v>
      </c>
      <c r="L138" s="4">
        <v>26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62865.279999999999</v>
      </c>
      <c r="X138" s="4">
        <v>1</v>
      </c>
      <c r="Y138" s="4">
        <v>62865.279999999999</v>
      </c>
      <c r="Z138" s="4"/>
      <c r="AA138" s="4"/>
      <c r="AB138" s="4"/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224</v>
      </c>
      <c r="F139" s="4">
        <f>ROUND(Source!AR111,O139)</f>
        <v>1445544.35</v>
      </c>
      <c r="G139" s="4" t="s">
        <v>194</v>
      </c>
      <c r="H139" s="4" t="s">
        <v>195</v>
      </c>
      <c r="I139" s="4"/>
      <c r="J139" s="4"/>
      <c r="K139" s="4">
        <v>224</v>
      </c>
      <c r="L139" s="4">
        <v>27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1445544.35</v>
      </c>
      <c r="X139" s="4">
        <v>1</v>
      </c>
      <c r="Y139" s="4">
        <v>1445544.35</v>
      </c>
      <c r="Z139" s="4"/>
      <c r="AA139" s="4"/>
      <c r="AB139" s="4"/>
    </row>
    <row r="141" spans="1:206" x14ac:dyDescent="0.2">
      <c r="A141" s="2">
        <v>51</v>
      </c>
      <c r="B141" s="2">
        <f>B27</f>
        <v>1</v>
      </c>
      <c r="C141" s="2">
        <f>A27</f>
        <v>4</v>
      </c>
      <c r="D141" s="2">
        <f>ROW(A27)</f>
        <v>27</v>
      </c>
      <c r="E141" s="2"/>
      <c r="F141" s="2" t="str">
        <f>IF(F27&lt;&gt;"",F27,"")</f>
        <v>Новый раздел</v>
      </c>
      <c r="G141" s="2" t="str">
        <f>IF(G27&lt;&gt;"",G27,"")</f>
        <v>Прокладка ВОЛС в коллекторе</v>
      </c>
      <c r="H141" s="2">
        <v>0</v>
      </c>
      <c r="I141" s="2"/>
      <c r="J141" s="2"/>
      <c r="K141" s="2"/>
      <c r="L141" s="2"/>
      <c r="M141" s="2"/>
      <c r="N141" s="2"/>
      <c r="O141" s="2">
        <f t="shared" ref="O141:T141" si="107">ROUND(O62+O111+AB141,2)</f>
        <v>559849.4</v>
      </c>
      <c r="P141" s="2">
        <f t="shared" si="107"/>
        <v>382873.2</v>
      </c>
      <c r="Q141" s="2">
        <f t="shared" si="107"/>
        <v>3865.35</v>
      </c>
      <c r="R141" s="2">
        <f t="shared" si="107"/>
        <v>1501.75</v>
      </c>
      <c r="S141" s="2">
        <f t="shared" si="107"/>
        <v>173110.85</v>
      </c>
      <c r="T141" s="2">
        <f t="shared" si="107"/>
        <v>0</v>
      </c>
      <c r="U141" s="2">
        <f>U62+U111+AH141</f>
        <v>442.14964653908402</v>
      </c>
      <c r="V141" s="2">
        <f>V62+V111+AI141</f>
        <v>0</v>
      </c>
      <c r="W141" s="2">
        <f>ROUND(W62+W111+AJ141,2)</f>
        <v>0</v>
      </c>
      <c r="X141" s="2">
        <f>ROUND(X62+X111+AK141,2)</f>
        <v>150246.95000000001</v>
      </c>
      <c r="Y141" s="2">
        <f>ROUND(Y62+Y111+AL141,2)</f>
        <v>71113.289999999994</v>
      </c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>
        <f t="shared" ref="AO141:BD141" si="108">ROUND(AO62+AO111+BX141,2)</f>
        <v>0</v>
      </c>
      <c r="AP141" s="2">
        <f t="shared" si="108"/>
        <v>0</v>
      </c>
      <c r="AQ141" s="2">
        <f t="shared" si="108"/>
        <v>0</v>
      </c>
      <c r="AR141" s="2">
        <f t="shared" si="108"/>
        <v>1515425.18</v>
      </c>
      <c r="AS141" s="2">
        <f t="shared" si="108"/>
        <v>380581.26</v>
      </c>
      <c r="AT141" s="2">
        <f t="shared" si="108"/>
        <v>1134843.92</v>
      </c>
      <c r="AU141" s="2">
        <f t="shared" si="108"/>
        <v>0</v>
      </c>
      <c r="AV141" s="2">
        <f t="shared" si="108"/>
        <v>382873.2</v>
      </c>
      <c r="AW141" s="2">
        <f t="shared" si="108"/>
        <v>382873.2</v>
      </c>
      <c r="AX141" s="2">
        <f t="shared" si="108"/>
        <v>0</v>
      </c>
      <c r="AY141" s="2">
        <f t="shared" si="108"/>
        <v>382873.2</v>
      </c>
      <c r="AZ141" s="2">
        <f t="shared" si="108"/>
        <v>0</v>
      </c>
      <c r="BA141" s="2">
        <f t="shared" si="108"/>
        <v>0</v>
      </c>
      <c r="BB141" s="2">
        <f t="shared" si="108"/>
        <v>241730.98</v>
      </c>
      <c r="BC141" s="2">
        <f t="shared" si="108"/>
        <v>490081.75</v>
      </c>
      <c r="BD141" s="2">
        <f t="shared" si="108"/>
        <v>0</v>
      </c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>
        <v>0</v>
      </c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201</v>
      </c>
      <c r="F143" s="4">
        <f>ROUND(Source!O141,O143)</f>
        <v>559849.4</v>
      </c>
      <c r="G143" s="4" t="s">
        <v>142</v>
      </c>
      <c r="H143" s="4" t="s">
        <v>143</v>
      </c>
      <c r="I143" s="4"/>
      <c r="J143" s="4"/>
      <c r="K143" s="4">
        <v>201</v>
      </c>
      <c r="L143" s="4">
        <v>1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559849.4</v>
      </c>
      <c r="X143" s="4">
        <v>1</v>
      </c>
      <c r="Y143" s="4">
        <v>559849.4</v>
      </c>
      <c r="Z143" s="4"/>
      <c r="AA143" s="4"/>
      <c r="AB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202</v>
      </c>
      <c r="F144" s="4">
        <f>ROUND(Source!P141,O144)</f>
        <v>382873.2</v>
      </c>
      <c r="G144" s="4" t="s">
        <v>144</v>
      </c>
      <c r="H144" s="4" t="s">
        <v>145</v>
      </c>
      <c r="I144" s="4"/>
      <c r="J144" s="4"/>
      <c r="K144" s="4">
        <v>202</v>
      </c>
      <c r="L144" s="4">
        <v>2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382873.2</v>
      </c>
      <c r="X144" s="4">
        <v>1</v>
      </c>
      <c r="Y144" s="4">
        <v>382873.2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222</v>
      </c>
      <c r="F145" s="4">
        <f>ROUND(Source!AO141,O145)</f>
        <v>0</v>
      </c>
      <c r="G145" s="4" t="s">
        <v>146</v>
      </c>
      <c r="H145" s="4" t="s">
        <v>147</v>
      </c>
      <c r="I145" s="4"/>
      <c r="J145" s="4"/>
      <c r="K145" s="4">
        <v>222</v>
      </c>
      <c r="L145" s="4">
        <v>3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225</v>
      </c>
      <c r="F146" s="4">
        <f>ROUND(Source!AV141,O146)</f>
        <v>382873.2</v>
      </c>
      <c r="G146" s="4" t="s">
        <v>148</v>
      </c>
      <c r="H146" s="4" t="s">
        <v>149</v>
      </c>
      <c r="I146" s="4"/>
      <c r="J146" s="4"/>
      <c r="K146" s="4">
        <v>225</v>
      </c>
      <c r="L146" s="4">
        <v>4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382873.2</v>
      </c>
      <c r="X146" s="4">
        <v>1</v>
      </c>
      <c r="Y146" s="4">
        <v>382873.2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226</v>
      </c>
      <c r="F147" s="4">
        <f>ROUND(Source!AW141,O147)</f>
        <v>382873.2</v>
      </c>
      <c r="G147" s="4" t="s">
        <v>150</v>
      </c>
      <c r="H147" s="4" t="s">
        <v>151</v>
      </c>
      <c r="I147" s="4"/>
      <c r="J147" s="4"/>
      <c r="K147" s="4">
        <v>226</v>
      </c>
      <c r="L147" s="4">
        <v>5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382873.2</v>
      </c>
      <c r="X147" s="4">
        <v>1</v>
      </c>
      <c r="Y147" s="4">
        <v>382873.2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227</v>
      </c>
      <c r="F148" s="4">
        <f>ROUND(Source!AX141,O148)</f>
        <v>0</v>
      </c>
      <c r="G148" s="4" t="s">
        <v>152</v>
      </c>
      <c r="H148" s="4" t="s">
        <v>153</v>
      </c>
      <c r="I148" s="4"/>
      <c r="J148" s="4"/>
      <c r="K148" s="4">
        <v>227</v>
      </c>
      <c r="L148" s="4">
        <v>6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228</v>
      </c>
      <c r="F149" s="4">
        <f>ROUND(Source!AY141,O149)</f>
        <v>382873.2</v>
      </c>
      <c r="G149" s="4" t="s">
        <v>154</v>
      </c>
      <c r="H149" s="4" t="s">
        <v>155</v>
      </c>
      <c r="I149" s="4"/>
      <c r="J149" s="4"/>
      <c r="K149" s="4">
        <v>228</v>
      </c>
      <c r="L149" s="4">
        <v>7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382873.2</v>
      </c>
      <c r="X149" s="4">
        <v>1</v>
      </c>
      <c r="Y149" s="4">
        <v>382873.2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216</v>
      </c>
      <c r="F150" s="4">
        <f>ROUND(Source!AP141,O150)</f>
        <v>0</v>
      </c>
      <c r="G150" s="4" t="s">
        <v>156</v>
      </c>
      <c r="H150" s="4" t="s">
        <v>157</v>
      </c>
      <c r="I150" s="4"/>
      <c r="J150" s="4"/>
      <c r="K150" s="4">
        <v>216</v>
      </c>
      <c r="L150" s="4">
        <v>8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223</v>
      </c>
      <c r="F151" s="4">
        <f>ROUND(Source!AQ141,O151)</f>
        <v>0</v>
      </c>
      <c r="G151" s="4" t="s">
        <v>158</v>
      </c>
      <c r="H151" s="4" t="s">
        <v>159</v>
      </c>
      <c r="I151" s="4"/>
      <c r="J151" s="4"/>
      <c r="K151" s="4">
        <v>223</v>
      </c>
      <c r="L151" s="4">
        <v>9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229</v>
      </c>
      <c r="F152" s="4">
        <f>ROUND(Source!AZ141,O152)</f>
        <v>0</v>
      </c>
      <c r="G152" s="4" t="s">
        <v>160</v>
      </c>
      <c r="H152" s="4" t="s">
        <v>161</v>
      </c>
      <c r="I152" s="4"/>
      <c r="J152" s="4"/>
      <c r="K152" s="4">
        <v>229</v>
      </c>
      <c r="L152" s="4">
        <v>10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203</v>
      </c>
      <c r="F153" s="4">
        <f>ROUND(Source!Q141,O153)</f>
        <v>3865.35</v>
      </c>
      <c r="G153" s="4" t="s">
        <v>162</v>
      </c>
      <c r="H153" s="4" t="s">
        <v>163</v>
      </c>
      <c r="I153" s="4"/>
      <c r="J153" s="4"/>
      <c r="K153" s="4">
        <v>203</v>
      </c>
      <c r="L153" s="4">
        <v>11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3865.35</v>
      </c>
      <c r="X153" s="4">
        <v>1</v>
      </c>
      <c r="Y153" s="4">
        <v>3865.35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231</v>
      </c>
      <c r="F154" s="4">
        <f>ROUND(Source!BB141,O154)</f>
        <v>241730.98</v>
      </c>
      <c r="G154" s="4" t="s">
        <v>164</v>
      </c>
      <c r="H154" s="4" t="s">
        <v>165</v>
      </c>
      <c r="I154" s="4"/>
      <c r="J154" s="4"/>
      <c r="K154" s="4">
        <v>231</v>
      </c>
      <c r="L154" s="4">
        <v>12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241730.98</v>
      </c>
      <c r="X154" s="4">
        <v>1</v>
      </c>
      <c r="Y154" s="4">
        <v>241730.98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204</v>
      </c>
      <c r="F155" s="4">
        <f>ROUND(Source!R141,O155)</f>
        <v>1501.75</v>
      </c>
      <c r="G155" s="4" t="s">
        <v>166</v>
      </c>
      <c r="H155" s="4" t="s">
        <v>167</v>
      </c>
      <c r="I155" s="4"/>
      <c r="J155" s="4"/>
      <c r="K155" s="4">
        <v>204</v>
      </c>
      <c r="L155" s="4">
        <v>13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1501.75</v>
      </c>
      <c r="X155" s="4">
        <v>1</v>
      </c>
      <c r="Y155" s="4">
        <v>1501.75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205</v>
      </c>
      <c r="F156" s="4">
        <f>ROUND(Source!S141,O156)</f>
        <v>173110.85</v>
      </c>
      <c r="G156" s="4" t="s">
        <v>168</v>
      </c>
      <c r="H156" s="4" t="s">
        <v>169</v>
      </c>
      <c r="I156" s="4"/>
      <c r="J156" s="4"/>
      <c r="K156" s="4">
        <v>205</v>
      </c>
      <c r="L156" s="4">
        <v>14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173110.85</v>
      </c>
      <c r="X156" s="4">
        <v>1</v>
      </c>
      <c r="Y156" s="4">
        <v>173110.85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232</v>
      </c>
      <c r="F157" s="4">
        <f>ROUND(Source!BC141,O157)</f>
        <v>490081.75</v>
      </c>
      <c r="G157" s="4" t="s">
        <v>170</v>
      </c>
      <c r="H157" s="4" t="s">
        <v>171</v>
      </c>
      <c r="I157" s="4"/>
      <c r="J157" s="4"/>
      <c r="K157" s="4">
        <v>232</v>
      </c>
      <c r="L157" s="4">
        <v>15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490081.75</v>
      </c>
      <c r="X157" s="4">
        <v>1</v>
      </c>
      <c r="Y157" s="4">
        <v>490081.75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214</v>
      </c>
      <c r="F158" s="4">
        <f>ROUND(Source!AS141,O158)</f>
        <v>380581.26</v>
      </c>
      <c r="G158" s="4" t="s">
        <v>172</v>
      </c>
      <c r="H158" s="4" t="s">
        <v>173</v>
      </c>
      <c r="I158" s="4"/>
      <c r="J158" s="4"/>
      <c r="K158" s="4">
        <v>214</v>
      </c>
      <c r="L158" s="4">
        <v>16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380581.26</v>
      </c>
      <c r="X158" s="4">
        <v>1</v>
      </c>
      <c r="Y158" s="4">
        <v>380581.26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215</v>
      </c>
      <c r="F159" s="4">
        <f>ROUND(Source!AT141,O159)</f>
        <v>1134843.92</v>
      </c>
      <c r="G159" s="4" t="s">
        <v>174</v>
      </c>
      <c r="H159" s="4" t="s">
        <v>175</v>
      </c>
      <c r="I159" s="4"/>
      <c r="J159" s="4"/>
      <c r="K159" s="4">
        <v>215</v>
      </c>
      <c r="L159" s="4">
        <v>17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1134843.92</v>
      </c>
      <c r="X159" s="4">
        <v>1</v>
      </c>
      <c r="Y159" s="4">
        <v>1134843.92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217</v>
      </c>
      <c r="F160" s="4">
        <f>ROUND(Source!AU141,O160)</f>
        <v>0</v>
      </c>
      <c r="G160" s="4" t="s">
        <v>176</v>
      </c>
      <c r="H160" s="4" t="s">
        <v>177</v>
      </c>
      <c r="I160" s="4"/>
      <c r="J160" s="4"/>
      <c r="K160" s="4">
        <v>217</v>
      </c>
      <c r="L160" s="4">
        <v>18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06" x14ac:dyDescent="0.2">
      <c r="A161" s="4">
        <v>50</v>
      </c>
      <c r="B161" s="4">
        <v>0</v>
      </c>
      <c r="C161" s="4">
        <v>0</v>
      </c>
      <c r="D161" s="4">
        <v>1</v>
      </c>
      <c r="E161" s="4">
        <v>230</v>
      </c>
      <c r="F161" s="4">
        <f>ROUND(Source!BA141,O161)</f>
        <v>0</v>
      </c>
      <c r="G161" s="4" t="s">
        <v>178</v>
      </c>
      <c r="H161" s="4" t="s">
        <v>179</v>
      </c>
      <c r="I161" s="4"/>
      <c r="J161" s="4"/>
      <c r="K161" s="4">
        <v>230</v>
      </c>
      <c r="L161" s="4">
        <v>19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06" x14ac:dyDescent="0.2">
      <c r="A162" s="4">
        <v>50</v>
      </c>
      <c r="B162" s="4">
        <v>0</v>
      </c>
      <c r="C162" s="4">
        <v>0</v>
      </c>
      <c r="D162" s="4">
        <v>1</v>
      </c>
      <c r="E162" s="4">
        <v>206</v>
      </c>
      <c r="F162" s="4">
        <f>ROUND(Source!T141,O162)</f>
        <v>0</v>
      </c>
      <c r="G162" s="4" t="s">
        <v>180</v>
      </c>
      <c r="H162" s="4" t="s">
        <v>181</v>
      </c>
      <c r="I162" s="4"/>
      <c r="J162" s="4"/>
      <c r="K162" s="4">
        <v>206</v>
      </c>
      <c r="L162" s="4">
        <v>20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207</v>
      </c>
      <c r="F163" s="4">
        <f>Source!U141</f>
        <v>442.14964653908402</v>
      </c>
      <c r="G163" s="4" t="s">
        <v>182</v>
      </c>
      <c r="H163" s="4" t="s">
        <v>183</v>
      </c>
      <c r="I163" s="4"/>
      <c r="J163" s="4"/>
      <c r="K163" s="4">
        <v>207</v>
      </c>
      <c r="L163" s="4">
        <v>21</v>
      </c>
      <c r="M163" s="4">
        <v>3</v>
      </c>
      <c r="N163" s="4" t="s">
        <v>3</v>
      </c>
      <c r="O163" s="4">
        <v>-1</v>
      </c>
      <c r="P163" s="4"/>
      <c r="Q163" s="4"/>
      <c r="R163" s="4"/>
      <c r="S163" s="4"/>
      <c r="T163" s="4"/>
      <c r="U163" s="4"/>
      <c r="V163" s="4"/>
      <c r="W163" s="4">
        <v>442.14964653908402</v>
      </c>
      <c r="X163" s="4">
        <v>1</v>
      </c>
      <c r="Y163" s="4">
        <v>442.14964653908402</v>
      </c>
      <c r="Z163" s="4"/>
      <c r="AA163" s="4"/>
      <c r="AB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208</v>
      </c>
      <c r="F164" s="4">
        <f>Source!V141</f>
        <v>0</v>
      </c>
      <c r="G164" s="4" t="s">
        <v>184</v>
      </c>
      <c r="H164" s="4" t="s">
        <v>185</v>
      </c>
      <c r="I164" s="4"/>
      <c r="J164" s="4"/>
      <c r="K164" s="4">
        <v>208</v>
      </c>
      <c r="L164" s="4">
        <v>22</v>
      </c>
      <c r="M164" s="4">
        <v>3</v>
      </c>
      <c r="N164" s="4" t="s">
        <v>3</v>
      </c>
      <c r="O164" s="4">
        <v>-1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209</v>
      </c>
      <c r="F165" s="4">
        <f>ROUND(Source!W141,O165)</f>
        <v>0</v>
      </c>
      <c r="G165" s="4" t="s">
        <v>186</v>
      </c>
      <c r="H165" s="4" t="s">
        <v>187</v>
      </c>
      <c r="I165" s="4"/>
      <c r="J165" s="4"/>
      <c r="K165" s="4">
        <v>209</v>
      </c>
      <c r="L165" s="4">
        <v>23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233</v>
      </c>
      <c r="F166" s="4">
        <f>ROUND(Source!BD141,O166)</f>
        <v>0</v>
      </c>
      <c r="G166" s="4" t="s">
        <v>188</v>
      </c>
      <c r="H166" s="4" t="s">
        <v>189</v>
      </c>
      <c r="I166" s="4"/>
      <c r="J166" s="4"/>
      <c r="K166" s="4">
        <v>233</v>
      </c>
      <c r="L166" s="4">
        <v>24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210</v>
      </c>
      <c r="F167" s="4">
        <f>ROUND(Source!X141,O167)</f>
        <v>150246.95000000001</v>
      </c>
      <c r="G167" s="4" t="s">
        <v>190</v>
      </c>
      <c r="H167" s="4" t="s">
        <v>191</v>
      </c>
      <c r="I167" s="4"/>
      <c r="J167" s="4"/>
      <c r="K167" s="4">
        <v>210</v>
      </c>
      <c r="L167" s="4">
        <v>25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150246.95000000001</v>
      </c>
      <c r="X167" s="4">
        <v>1</v>
      </c>
      <c r="Y167" s="4">
        <v>150246.95000000001</v>
      </c>
      <c r="Z167" s="4"/>
      <c r="AA167" s="4"/>
      <c r="AB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211</v>
      </c>
      <c r="F168" s="4">
        <f>ROUND(Source!Y141,O168)</f>
        <v>71113.289999999994</v>
      </c>
      <c r="G168" s="4" t="s">
        <v>192</v>
      </c>
      <c r="H168" s="4" t="s">
        <v>193</v>
      </c>
      <c r="I168" s="4"/>
      <c r="J168" s="4"/>
      <c r="K168" s="4">
        <v>211</v>
      </c>
      <c r="L168" s="4">
        <v>26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71113.289999999994</v>
      </c>
      <c r="X168" s="4">
        <v>1</v>
      </c>
      <c r="Y168" s="4">
        <v>71113.289999999994</v>
      </c>
      <c r="Z168" s="4"/>
      <c r="AA168" s="4"/>
      <c r="AB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224</v>
      </c>
      <c r="F169" s="4">
        <f>ROUND(Source!AR141,O169)</f>
        <v>1515425.18</v>
      </c>
      <c r="G169" s="4" t="s">
        <v>194</v>
      </c>
      <c r="H169" s="4" t="s">
        <v>195</v>
      </c>
      <c r="I169" s="4"/>
      <c r="J169" s="4"/>
      <c r="K169" s="4">
        <v>224</v>
      </c>
      <c r="L169" s="4">
        <v>27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1515425.18</v>
      </c>
      <c r="X169" s="4">
        <v>1</v>
      </c>
      <c r="Y169" s="4">
        <v>1515425.18</v>
      </c>
      <c r="Z169" s="4"/>
      <c r="AA169" s="4"/>
      <c r="AB169" s="4"/>
    </row>
    <row r="171" spans="1:206" x14ac:dyDescent="0.2">
      <c r="A171" s="2">
        <v>51</v>
      </c>
      <c r="B171" s="2">
        <f>B20</f>
        <v>1</v>
      </c>
      <c r="C171" s="2">
        <f>A20</f>
        <v>3</v>
      </c>
      <c r="D171" s="2">
        <f>ROW(A20)</f>
        <v>20</v>
      </c>
      <c r="E171" s="2"/>
      <c r="F171" s="2" t="str">
        <f>IF(F20&lt;&gt;"",F20,"")</f>
        <v/>
      </c>
      <c r="G171" s="2" t="str">
        <f>IF(G20&lt;&gt;"",G20,"")</f>
        <v>КЛ в коллекторах от РП 60206 до ТП-новая</v>
      </c>
      <c r="H171" s="2">
        <v>0</v>
      </c>
      <c r="I171" s="2"/>
      <c r="J171" s="2"/>
      <c r="K171" s="2"/>
      <c r="L171" s="2"/>
      <c r="M171" s="2"/>
      <c r="N171" s="2"/>
      <c r="O171" s="2">
        <f t="shared" ref="O171:T171" si="109">ROUND(O141+AB171,2)</f>
        <v>559849.4</v>
      </c>
      <c r="P171" s="2">
        <f t="shared" si="109"/>
        <v>382873.2</v>
      </c>
      <c r="Q171" s="2">
        <f t="shared" si="109"/>
        <v>3865.35</v>
      </c>
      <c r="R171" s="2">
        <f t="shared" si="109"/>
        <v>1501.75</v>
      </c>
      <c r="S171" s="2">
        <f t="shared" si="109"/>
        <v>173110.85</v>
      </c>
      <c r="T171" s="2">
        <f t="shared" si="109"/>
        <v>0</v>
      </c>
      <c r="U171" s="2">
        <f>U141+AH171</f>
        <v>442.14964653908402</v>
      </c>
      <c r="V171" s="2">
        <f>V141+AI171</f>
        <v>0</v>
      </c>
      <c r="W171" s="2">
        <f>ROUND(W141+AJ171,2)</f>
        <v>0</v>
      </c>
      <c r="X171" s="2">
        <f>ROUND(X141+AK171,2)</f>
        <v>150246.95000000001</v>
      </c>
      <c r="Y171" s="2">
        <f>ROUND(Y141+AL171,2)</f>
        <v>71113.289999999994</v>
      </c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>
        <f t="shared" ref="AO171:BD171" si="110">ROUND(AO141+BX171,2)</f>
        <v>0</v>
      </c>
      <c r="AP171" s="2">
        <f t="shared" si="110"/>
        <v>0</v>
      </c>
      <c r="AQ171" s="2">
        <f t="shared" si="110"/>
        <v>0</v>
      </c>
      <c r="AR171" s="2">
        <f t="shared" si="110"/>
        <v>1515425.18</v>
      </c>
      <c r="AS171" s="2">
        <f t="shared" si="110"/>
        <v>380581.26</v>
      </c>
      <c r="AT171" s="2">
        <f t="shared" si="110"/>
        <v>1134843.92</v>
      </c>
      <c r="AU171" s="2">
        <f t="shared" si="110"/>
        <v>0</v>
      </c>
      <c r="AV171" s="2">
        <f t="shared" si="110"/>
        <v>382873.2</v>
      </c>
      <c r="AW171" s="2">
        <f t="shared" si="110"/>
        <v>382873.2</v>
      </c>
      <c r="AX171" s="2">
        <f t="shared" si="110"/>
        <v>0</v>
      </c>
      <c r="AY171" s="2">
        <f t="shared" si="110"/>
        <v>382873.2</v>
      </c>
      <c r="AZ171" s="2">
        <f t="shared" si="110"/>
        <v>0</v>
      </c>
      <c r="BA171" s="2">
        <f t="shared" si="110"/>
        <v>0</v>
      </c>
      <c r="BB171" s="2">
        <f t="shared" si="110"/>
        <v>241730.98</v>
      </c>
      <c r="BC171" s="2">
        <f t="shared" si="110"/>
        <v>490081.75</v>
      </c>
      <c r="BD171" s="2">
        <f t="shared" si="110"/>
        <v>0</v>
      </c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>
        <v>0</v>
      </c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201</v>
      </c>
      <c r="F173" s="4">
        <f>ROUND(Source!O171,O173)</f>
        <v>559849.4</v>
      </c>
      <c r="G173" s="4" t="s">
        <v>142</v>
      </c>
      <c r="H173" s="4" t="s">
        <v>143</v>
      </c>
      <c r="I173" s="4"/>
      <c r="J173" s="4"/>
      <c r="K173" s="4">
        <v>201</v>
      </c>
      <c r="L173" s="4">
        <v>1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559849.4</v>
      </c>
      <c r="X173" s="4">
        <v>1</v>
      </c>
      <c r="Y173" s="4">
        <v>559849.4</v>
      </c>
      <c r="Z173" s="4"/>
      <c r="AA173" s="4"/>
      <c r="AB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202</v>
      </c>
      <c r="F174" s="4">
        <f>ROUND(Source!P171,O174)</f>
        <v>382873.2</v>
      </c>
      <c r="G174" s="4" t="s">
        <v>144</v>
      </c>
      <c r="H174" s="4" t="s">
        <v>145</v>
      </c>
      <c r="I174" s="4"/>
      <c r="J174" s="4"/>
      <c r="K174" s="4">
        <v>202</v>
      </c>
      <c r="L174" s="4">
        <v>2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382873.2</v>
      </c>
      <c r="X174" s="4">
        <v>1</v>
      </c>
      <c r="Y174" s="4">
        <v>382873.2</v>
      </c>
      <c r="Z174" s="4"/>
      <c r="AA174" s="4"/>
      <c r="AB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222</v>
      </c>
      <c r="F175" s="4">
        <f>ROUND(Source!AO171,O175)</f>
        <v>0</v>
      </c>
      <c r="G175" s="4" t="s">
        <v>146</v>
      </c>
      <c r="H175" s="4" t="s">
        <v>147</v>
      </c>
      <c r="I175" s="4"/>
      <c r="J175" s="4"/>
      <c r="K175" s="4">
        <v>222</v>
      </c>
      <c r="L175" s="4">
        <v>3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225</v>
      </c>
      <c r="F176" s="4">
        <f>ROUND(Source!AV171,O176)</f>
        <v>382873.2</v>
      </c>
      <c r="G176" s="4" t="s">
        <v>148</v>
      </c>
      <c r="H176" s="4" t="s">
        <v>149</v>
      </c>
      <c r="I176" s="4"/>
      <c r="J176" s="4"/>
      <c r="K176" s="4">
        <v>225</v>
      </c>
      <c r="L176" s="4">
        <v>4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382873.2</v>
      </c>
      <c r="X176" s="4">
        <v>1</v>
      </c>
      <c r="Y176" s="4">
        <v>382873.2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226</v>
      </c>
      <c r="F177" s="4">
        <f>ROUND(Source!AW171,O177)</f>
        <v>382873.2</v>
      </c>
      <c r="G177" s="4" t="s">
        <v>150</v>
      </c>
      <c r="H177" s="4" t="s">
        <v>151</v>
      </c>
      <c r="I177" s="4"/>
      <c r="J177" s="4"/>
      <c r="K177" s="4">
        <v>226</v>
      </c>
      <c r="L177" s="4">
        <v>5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382873.2</v>
      </c>
      <c r="X177" s="4">
        <v>1</v>
      </c>
      <c r="Y177" s="4">
        <v>382873.2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227</v>
      </c>
      <c r="F178" s="4">
        <f>ROUND(Source!AX171,O178)</f>
        <v>0</v>
      </c>
      <c r="G178" s="4" t="s">
        <v>152</v>
      </c>
      <c r="H178" s="4" t="s">
        <v>153</v>
      </c>
      <c r="I178" s="4"/>
      <c r="J178" s="4"/>
      <c r="K178" s="4">
        <v>227</v>
      </c>
      <c r="L178" s="4">
        <v>6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228</v>
      </c>
      <c r="F179" s="4">
        <f>ROUND(Source!AY171,O179)</f>
        <v>382873.2</v>
      </c>
      <c r="G179" s="4" t="s">
        <v>154</v>
      </c>
      <c r="H179" s="4" t="s">
        <v>155</v>
      </c>
      <c r="I179" s="4"/>
      <c r="J179" s="4"/>
      <c r="K179" s="4">
        <v>228</v>
      </c>
      <c r="L179" s="4">
        <v>7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382873.2</v>
      </c>
      <c r="X179" s="4">
        <v>1</v>
      </c>
      <c r="Y179" s="4">
        <v>382873.2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216</v>
      </c>
      <c r="F180" s="4">
        <f>ROUND(Source!AP171,O180)</f>
        <v>0</v>
      </c>
      <c r="G180" s="4" t="s">
        <v>156</v>
      </c>
      <c r="H180" s="4" t="s">
        <v>157</v>
      </c>
      <c r="I180" s="4"/>
      <c r="J180" s="4"/>
      <c r="K180" s="4">
        <v>216</v>
      </c>
      <c r="L180" s="4">
        <v>8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223</v>
      </c>
      <c r="F181" s="4">
        <f>ROUND(Source!AQ171,O181)</f>
        <v>0</v>
      </c>
      <c r="G181" s="4" t="s">
        <v>158</v>
      </c>
      <c r="H181" s="4" t="s">
        <v>159</v>
      </c>
      <c r="I181" s="4"/>
      <c r="J181" s="4"/>
      <c r="K181" s="4">
        <v>223</v>
      </c>
      <c r="L181" s="4">
        <v>9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229</v>
      </c>
      <c r="F182" s="4">
        <f>ROUND(Source!AZ171,O182)</f>
        <v>0</v>
      </c>
      <c r="G182" s="4" t="s">
        <v>160</v>
      </c>
      <c r="H182" s="4" t="s">
        <v>161</v>
      </c>
      <c r="I182" s="4"/>
      <c r="J182" s="4"/>
      <c r="K182" s="4">
        <v>229</v>
      </c>
      <c r="L182" s="4">
        <v>10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203</v>
      </c>
      <c r="F183" s="4">
        <f>ROUND(Source!Q171,O183)</f>
        <v>3865.35</v>
      </c>
      <c r="G183" s="4" t="s">
        <v>162</v>
      </c>
      <c r="H183" s="4" t="s">
        <v>163</v>
      </c>
      <c r="I183" s="4"/>
      <c r="J183" s="4"/>
      <c r="K183" s="4">
        <v>203</v>
      </c>
      <c r="L183" s="4">
        <v>11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3865.35</v>
      </c>
      <c r="X183" s="4">
        <v>1</v>
      </c>
      <c r="Y183" s="4">
        <v>3865.35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231</v>
      </c>
      <c r="F184" s="4">
        <f>ROUND(Source!BB171,O184)</f>
        <v>241730.98</v>
      </c>
      <c r="G184" s="4" t="s">
        <v>164</v>
      </c>
      <c r="H184" s="4" t="s">
        <v>165</v>
      </c>
      <c r="I184" s="4"/>
      <c r="J184" s="4"/>
      <c r="K184" s="4">
        <v>231</v>
      </c>
      <c r="L184" s="4">
        <v>12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241730.98</v>
      </c>
      <c r="X184" s="4">
        <v>1</v>
      </c>
      <c r="Y184" s="4">
        <v>241730.98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204</v>
      </c>
      <c r="F185" s="4">
        <f>ROUND(Source!R171,O185)</f>
        <v>1501.75</v>
      </c>
      <c r="G185" s="4" t="s">
        <v>166</v>
      </c>
      <c r="H185" s="4" t="s">
        <v>167</v>
      </c>
      <c r="I185" s="4"/>
      <c r="J185" s="4"/>
      <c r="K185" s="4">
        <v>204</v>
      </c>
      <c r="L185" s="4">
        <v>13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1501.75</v>
      </c>
      <c r="X185" s="4">
        <v>1</v>
      </c>
      <c r="Y185" s="4">
        <v>1501.75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205</v>
      </c>
      <c r="F186" s="4">
        <f>ROUND(Source!S171,O186)</f>
        <v>173110.85</v>
      </c>
      <c r="G186" s="4" t="s">
        <v>168</v>
      </c>
      <c r="H186" s="4" t="s">
        <v>169</v>
      </c>
      <c r="I186" s="4"/>
      <c r="J186" s="4"/>
      <c r="K186" s="4">
        <v>205</v>
      </c>
      <c r="L186" s="4">
        <v>14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173110.85</v>
      </c>
      <c r="X186" s="4">
        <v>1</v>
      </c>
      <c r="Y186" s="4">
        <v>173110.85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232</v>
      </c>
      <c r="F187" s="4">
        <f>ROUND(Source!BC171,O187)</f>
        <v>490081.75</v>
      </c>
      <c r="G187" s="4" t="s">
        <v>170</v>
      </c>
      <c r="H187" s="4" t="s">
        <v>171</v>
      </c>
      <c r="I187" s="4"/>
      <c r="J187" s="4"/>
      <c r="K187" s="4">
        <v>232</v>
      </c>
      <c r="L187" s="4">
        <v>15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490081.75</v>
      </c>
      <c r="X187" s="4">
        <v>1</v>
      </c>
      <c r="Y187" s="4">
        <v>490081.75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214</v>
      </c>
      <c r="F188" s="4">
        <f>ROUND(Source!AS171,O188)</f>
        <v>380581.26</v>
      </c>
      <c r="G188" s="4" t="s">
        <v>172</v>
      </c>
      <c r="H188" s="4" t="s">
        <v>173</v>
      </c>
      <c r="I188" s="4"/>
      <c r="J188" s="4"/>
      <c r="K188" s="4">
        <v>214</v>
      </c>
      <c r="L188" s="4">
        <v>16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380581.26</v>
      </c>
      <c r="X188" s="4">
        <v>1</v>
      </c>
      <c r="Y188" s="4">
        <v>380581.26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215</v>
      </c>
      <c r="F189" s="4">
        <f>ROUND(Source!AT171,O189)</f>
        <v>1134843.92</v>
      </c>
      <c r="G189" s="4" t="s">
        <v>174</v>
      </c>
      <c r="H189" s="4" t="s">
        <v>175</v>
      </c>
      <c r="I189" s="4"/>
      <c r="J189" s="4"/>
      <c r="K189" s="4">
        <v>215</v>
      </c>
      <c r="L189" s="4">
        <v>17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1134843.92</v>
      </c>
      <c r="X189" s="4">
        <v>1</v>
      </c>
      <c r="Y189" s="4">
        <v>1134843.92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217</v>
      </c>
      <c r="F190" s="4">
        <f>ROUND(Source!AU171,O190)</f>
        <v>0</v>
      </c>
      <c r="G190" s="4" t="s">
        <v>176</v>
      </c>
      <c r="H190" s="4" t="s">
        <v>177</v>
      </c>
      <c r="I190" s="4"/>
      <c r="J190" s="4"/>
      <c r="K190" s="4">
        <v>217</v>
      </c>
      <c r="L190" s="4">
        <v>18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230</v>
      </c>
      <c r="F191" s="4">
        <f>ROUND(Source!BA171,O191)</f>
        <v>0</v>
      </c>
      <c r="G191" s="4" t="s">
        <v>178</v>
      </c>
      <c r="H191" s="4" t="s">
        <v>179</v>
      </c>
      <c r="I191" s="4"/>
      <c r="J191" s="4"/>
      <c r="K191" s="4">
        <v>230</v>
      </c>
      <c r="L191" s="4">
        <v>19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206</v>
      </c>
      <c r="F192" s="4">
        <f>ROUND(Source!T171,O192)</f>
        <v>0</v>
      </c>
      <c r="G192" s="4" t="s">
        <v>180</v>
      </c>
      <c r="H192" s="4" t="s">
        <v>181</v>
      </c>
      <c r="I192" s="4"/>
      <c r="J192" s="4"/>
      <c r="K192" s="4">
        <v>206</v>
      </c>
      <c r="L192" s="4">
        <v>20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06" x14ac:dyDescent="0.2">
      <c r="A193" s="4">
        <v>50</v>
      </c>
      <c r="B193" s="4">
        <v>0</v>
      </c>
      <c r="C193" s="4">
        <v>0</v>
      </c>
      <c r="D193" s="4">
        <v>1</v>
      </c>
      <c r="E193" s="4">
        <v>207</v>
      </c>
      <c r="F193" s="4">
        <f>Source!U171</f>
        <v>442.14964653908402</v>
      </c>
      <c r="G193" s="4" t="s">
        <v>182</v>
      </c>
      <c r="H193" s="4" t="s">
        <v>183</v>
      </c>
      <c r="I193" s="4"/>
      <c r="J193" s="4"/>
      <c r="K193" s="4">
        <v>207</v>
      </c>
      <c r="L193" s="4">
        <v>21</v>
      </c>
      <c r="M193" s="4">
        <v>3</v>
      </c>
      <c r="N193" s="4" t="s">
        <v>3</v>
      </c>
      <c r="O193" s="4">
        <v>-1</v>
      </c>
      <c r="P193" s="4"/>
      <c r="Q193" s="4"/>
      <c r="R193" s="4"/>
      <c r="S193" s="4"/>
      <c r="T193" s="4"/>
      <c r="U193" s="4"/>
      <c r="V193" s="4"/>
      <c r="W193" s="4">
        <v>442.14964653908402</v>
      </c>
      <c r="X193" s="4">
        <v>1</v>
      </c>
      <c r="Y193" s="4">
        <v>442.14964653908402</v>
      </c>
      <c r="Z193" s="4"/>
      <c r="AA193" s="4"/>
      <c r="AB193" s="4"/>
    </row>
    <row r="194" spans="1:206" x14ac:dyDescent="0.2">
      <c r="A194" s="4">
        <v>50</v>
      </c>
      <c r="B194" s="4">
        <v>0</v>
      </c>
      <c r="C194" s="4">
        <v>0</v>
      </c>
      <c r="D194" s="4">
        <v>1</v>
      </c>
      <c r="E194" s="4">
        <v>208</v>
      </c>
      <c r="F194" s="4">
        <f>Source!V171</f>
        <v>0</v>
      </c>
      <c r="G194" s="4" t="s">
        <v>184</v>
      </c>
      <c r="H194" s="4" t="s">
        <v>185</v>
      </c>
      <c r="I194" s="4"/>
      <c r="J194" s="4"/>
      <c r="K194" s="4">
        <v>208</v>
      </c>
      <c r="L194" s="4">
        <v>22</v>
      </c>
      <c r="M194" s="4">
        <v>3</v>
      </c>
      <c r="N194" s="4" t="s">
        <v>3</v>
      </c>
      <c r="O194" s="4">
        <v>-1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06" x14ac:dyDescent="0.2">
      <c r="A195" s="4">
        <v>50</v>
      </c>
      <c r="B195" s="4">
        <v>0</v>
      </c>
      <c r="C195" s="4">
        <v>0</v>
      </c>
      <c r="D195" s="4">
        <v>1</v>
      </c>
      <c r="E195" s="4">
        <v>209</v>
      </c>
      <c r="F195" s="4">
        <f>ROUND(Source!W171,O195)</f>
        <v>0</v>
      </c>
      <c r="G195" s="4" t="s">
        <v>186</v>
      </c>
      <c r="H195" s="4" t="s">
        <v>187</v>
      </c>
      <c r="I195" s="4"/>
      <c r="J195" s="4"/>
      <c r="K195" s="4">
        <v>209</v>
      </c>
      <c r="L195" s="4">
        <v>23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06" x14ac:dyDescent="0.2">
      <c r="A196" s="4">
        <v>50</v>
      </c>
      <c r="B196" s="4">
        <v>0</v>
      </c>
      <c r="C196" s="4">
        <v>0</v>
      </c>
      <c r="D196" s="4">
        <v>1</v>
      </c>
      <c r="E196" s="4">
        <v>233</v>
      </c>
      <c r="F196" s="4">
        <f>ROUND(Source!BD171,O196)</f>
        <v>0</v>
      </c>
      <c r="G196" s="4" t="s">
        <v>188</v>
      </c>
      <c r="H196" s="4" t="s">
        <v>189</v>
      </c>
      <c r="I196" s="4"/>
      <c r="J196" s="4"/>
      <c r="K196" s="4">
        <v>233</v>
      </c>
      <c r="L196" s="4">
        <v>24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06" x14ac:dyDescent="0.2">
      <c r="A197" s="4">
        <v>50</v>
      </c>
      <c r="B197" s="4">
        <v>0</v>
      </c>
      <c r="C197" s="4">
        <v>0</v>
      </c>
      <c r="D197" s="4">
        <v>1</v>
      </c>
      <c r="E197" s="4">
        <v>210</v>
      </c>
      <c r="F197" s="4">
        <f>ROUND(Source!X171,O197)</f>
        <v>150246.95000000001</v>
      </c>
      <c r="G197" s="4" t="s">
        <v>190</v>
      </c>
      <c r="H197" s="4" t="s">
        <v>191</v>
      </c>
      <c r="I197" s="4"/>
      <c r="J197" s="4"/>
      <c r="K197" s="4">
        <v>210</v>
      </c>
      <c r="L197" s="4">
        <v>25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150246.95000000001</v>
      </c>
      <c r="X197" s="4">
        <v>1</v>
      </c>
      <c r="Y197" s="4">
        <v>150246.95000000001</v>
      </c>
      <c r="Z197" s="4"/>
      <c r="AA197" s="4"/>
      <c r="AB197" s="4"/>
    </row>
    <row r="198" spans="1:206" x14ac:dyDescent="0.2">
      <c r="A198" s="4">
        <v>50</v>
      </c>
      <c r="B198" s="4">
        <v>0</v>
      </c>
      <c r="C198" s="4">
        <v>0</v>
      </c>
      <c r="D198" s="4">
        <v>1</v>
      </c>
      <c r="E198" s="4">
        <v>211</v>
      </c>
      <c r="F198" s="4">
        <f>ROUND(Source!Y171,O198)</f>
        <v>71113.289999999994</v>
      </c>
      <c r="G198" s="4" t="s">
        <v>192</v>
      </c>
      <c r="H198" s="4" t="s">
        <v>193</v>
      </c>
      <c r="I198" s="4"/>
      <c r="J198" s="4"/>
      <c r="K198" s="4">
        <v>211</v>
      </c>
      <c r="L198" s="4">
        <v>26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71113.289999999994</v>
      </c>
      <c r="X198" s="4">
        <v>1</v>
      </c>
      <c r="Y198" s="4">
        <v>71113.289999999994</v>
      </c>
      <c r="Z198" s="4"/>
      <c r="AA198" s="4"/>
      <c r="AB198" s="4"/>
    </row>
    <row r="199" spans="1:206" x14ac:dyDescent="0.2">
      <c r="A199" s="4">
        <v>50</v>
      </c>
      <c r="B199" s="4">
        <v>0</v>
      </c>
      <c r="C199" s="4">
        <v>0</v>
      </c>
      <c r="D199" s="4">
        <v>1</v>
      </c>
      <c r="E199" s="4">
        <v>224</v>
      </c>
      <c r="F199" s="4">
        <f>ROUND(Source!AR171,O199)</f>
        <v>1515425.18</v>
      </c>
      <c r="G199" s="4" t="s">
        <v>194</v>
      </c>
      <c r="H199" s="4" t="s">
        <v>195</v>
      </c>
      <c r="I199" s="4"/>
      <c r="J199" s="4"/>
      <c r="K199" s="4">
        <v>224</v>
      </c>
      <c r="L199" s="4">
        <v>27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1515425.18</v>
      </c>
      <c r="X199" s="4">
        <v>1</v>
      </c>
      <c r="Y199" s="4">
        <v>1515425.18</v>
      </c>
      <c r="Z199" s="4"/>
      <c r="AA199" s="4"/>
      <c r="AB199" s="4"/>
    </row>
    <row r="201" spans="1:206" x14ac:dyDescent="0.2">
      <c r="A201" s="2">
        <v>51</v>
      </c>
      <c r="B201" s="2">
        <f>B12</f>
        <v>234</v>
      </c>
      <c r="C201" s="2">
        <f>A12</f>
        <v>1</v>
      </c>
      <c r="D201" s="2">
        <f>ROW(A12)</f>
        <v>12</v>
      </c>
      <c r="E201" s="2"/>
      <c r="F201" s="2" t="str">
        <f>IF(F12&lt;&gt;"",F12,"")</f>
        <v>02-01-07 (1 этап)</v>
      </c>
      <c r="G201" s="2" t="str">
        <f>IF(G12&lt;&gt;"",G12,"")</f>
        <v>02-01-07 КЛ в коллекторах от РП 60206 до ТП-новая (ВОЛС) корр.3</v>
      </c>
      <c r="H201" s="2">
        <v>0</v>
      </c>
      <c r="I201" s="2"/>
      <c r="J201" s="2"/>
      <c r="K201" s="2"/>
      <c r="L201" s="2"/>
      <c r="M201" s="2"/>
      <c r="N201" s="2"/>
      <c r="O201" s="2">
        <f t="shared" ref="O201:T201" si="111">ROUND(O171,2)</f>
        <v>559849.4</v>
      </c>
      <c r="P201" s="2">
        <f t="shared" si="111"/>
        <v>382873.2</v>
      </c>
      <c r="Q201" s="2">
        <f t="shared" si="111"/>
        <v>3865.35</v>
      </c>
      <c r="R201" s="2">
        <f t="shared" si="111"/>
        <v>1501.75</v>
      </c>
      <c r="S201" s="2">
        <f t="shared" si="111"/>
        <v>173110.85</v>
      </c>
      <c r="T201" s="2">
        <f t="shared" si="111"/>
        <v>0</v>
      </c>
      <c r="U201" s="2">
        <f>U171</f>
        <v>442.14964653908402</v>
      </c>
      <c r="V201" s="2">
        <f>V171</f>
        <v>0</v>
      </c>
      <c r="W201" s="2">
        <f>ROUND(W171,2)</f>
        <v>0</v>
      </c>
      <c r="X201" s="2">
        <f>ROUND(X171,2)</f>
        <v>150246.95000000001</v>
      </c>
      <c r="Y201" s="2">
        <f>ROUND(Y171,2)</f>
        <v>71113.289999999994</v>
      </c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>
        <f t="shared" ref="AO201:BD201" si="112">ROUND(AO171,2)</f>
        <v>0</v>
      </c>
      <c r="AP201" s="2">
        <f t="shared" si="112"/>
        <v>0</v>
      </c>
      <c r="AQ201" s="2">
        <f t="shared" si="112"/>
        <v>0</v>
      </c>
      <c r="AR201" s="2">
        <f t="shared" si="112"/>
        <v>1515425.18</v>
      </c>
      <c r="AS201" s="2">
        <f t="shared" si="112"/>
        <v>380581.26</v>
      </c>
      <c r="AT201" s="2">
        <f t="shared" si="112"/>
        <v>1134843.92</v>
      </c>
      <c r="AU201" s="2">
        <f t="shared" si="112"/>
        <v>0</v>
      </c>
      <c r="AV201" s="2">
        <f t="shared" si="112"/>
        <v>382873.2</v>
      </c>
      <c r="AW201" s="2">
        <f t="shared" si="112"/>
        <v>382873.2</v>
      </c>
      <c r="AX201" s="2">
        <f t="shared" si="112"/>
        <v>0</v>
      </c>
      <c r="AY201" s="2">
        <f t="shared" si="112"/>
        <v>382873.2</v>
      </c>
      <c r="AZ201" s="2">
        <f t="shared" si="112"/>
        <v>0</v>
      </c>
      <c r="BA201" s="2">
        <f t="shared" si="112"/>
        <v>0</v>
      </c>
      <c r="BB201" s="2">
        <f t="shared" si="112"/>
        <v>241730.98</v>
      </c>
      <c r="BC201" s="2">
        <f t="shared" si="112"/>
        <v>490081.75</v>
      </c>
      <c r="BD201" s="2">
        <f t="shared" si="112"/>
        <v>0</v>
      </c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  <c r="FA201" s="3"/>
      <c r="FB201" s="3"/>
      <c r="FC201" s="3"/>
      <c r="FD201" s="3"/>
      <c r="FE201" s="3"/>
      <c r="FF201" s="3"/>
      <c r="FG201" s="3"/>
      <c r="FH201" s="3"/>
      <c r="FI201" s="3"/>
      <c r="FJ201" s="3"/>
      <c r="FK201" s="3"/>
      <c r="FL201" s="3"/>
      <c r="FM201" s="3"/>
      <c r="FN201" s="3"/>
      <c r="FO201" s="3"/>
      <c r="FP201" s="3"/>
      <c r="FQ201" s="3"/>
      <c r="FR201" s="3"/>
      <c r="FS201" s="3"/>
      <c r="FT201" s="3"/>
      <c r="FU201" s="3"/>
      <c r="FV201" s="3"/>
      <c r="FW201" s="3"/>
      <c r="FX201" s="3"/>
      <c r="FY201" s="3"/>
      <c r="FZ201" s="3"/>
      <c r="GA201" s="3"/>
      <c r="GB201" s="3"/>
      <c r="GC201" s="3"/>
      <c r="GD201" s="3"/>
      <c r="GE201" s="3"/>
      <c r="GF201" s="3"/>
      <c r="GG201" s="3"/>
      <c r="GH201" s="3"/>
      <c r="GI201" s="3"/>
      <c r="GJ201" s="3"/>
      <c r="GK201" s="3"/>
      <c r="GL201" s="3"/>
      <c r="GM201" s="3"/>
      <c r="GN201" s="3"/>
      <c r="GO201" s="3"/>
      <c r="GP201" s="3"/>
      <c r="GQ201" s="3"/>
      <c r="GR201" s="3"/>
      <c r="GS201" s="3"/>
      <c r="GT201" s="3"/>
      <c r="GU201" s="3"/>
      <c r="GV201" s="3"/>
      <c r="GW201" s="3"/>
      <c r="GX201" s="3">
        <v>0</v>
      </c>
    </row>
    <row r="203" spans="1:206" x14ac:dyDescent="0.2">
      <c r="A203" s="4">
        <v>50</v>
      </c>
      <c r="B203" s="4">
        <v>0</v>
      </c>
      <c r="C203" s="4">
        <v>0</v>
      </c>
      <c r="D203" s="4">
        <v>1</v>
      </c>
      <c r="E203" s="4">
        <v>201</v>
      </c>
      <c r="F203" s="4">
        <f>ROUND(Source!O201,O203)</f>
        <v>559849.4</v>
      </c>
      <c r="G203" s="4" t="s">
        <v>142</v>
      </c>
      <c r="H203" s="4" t="s">
        <v>143</v>
      </c>
      <c r="I203" s="4"/>
      <c r="J203" s="4"/>
      <c r="K203" s="4">
        <v>201</v>
      </c>
      <c r="L203" s="4">
        <v>1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559849.4</v>
      </c>
      <c r="X203" s="4">
        <v>1</v>
      </c>
      <c r="Y203" s="4">
        <v>559849.4</v>
      </c>
      <c r="Z203" s="4"/>
      <c r="AA203" s="4"/>
      <c r="AB203" s="4"/>
    </row>
    <row r="204" spans="1:206" x14ac:dyDescent="0.2">
      <c r="A204" s="4">
        <v>50</v>
      </c>
      <c r="B204" s="4">
        <v>0</v>
      </c>
      <c r="C204" s="4">
        <v>0</v>
      </c>
      <c r="D204" s="4">
        <v>1</v>
      </c>
      <c r="E204" s="4">
        <v>202</v>
      </c>
      <c r="F204" s="4">
        <f>ROUND(Source!P201,O204)</f>
        <v>382873.2</v>
      </c>
      <c r="G204" s="4" t="s">
        <v>144</v>
      </c>
      <c r="H204" s="4" t="s">
        <v>145</v>
      </c>
      <c r="I204" s="4"/>
      <c r="J204" s="4"/>
      <c r="K204" s="4">
        <v>202</v>
      </c>
      <c r="L204" s="4">
        <v>2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382873.2</v>
      </c>
      <c r="X204" s="4">
        <v>1</v>
      </c>
      <c r="Y204" s="4">
        <v>382873.2</v>
      </c>
      <c r="Z204" s="4"/>
      <c r="AA204" s="4"/>
      <c r="AB204" s="4"/>
    </row>
    <row r="205" spans="1:206" x14ac:dyDescent="0.2">
      <c r="A205" s="4">
        <v>50</v>
      </c>
      <c r="B205" s="4">
        <v>0</v>
      </c>
      <c r="C205" s="4">
        <v>0</v>
      </c>
      <c r="D205" s="4">
        <v>1</v>
      </c>
      <c r="E205" s="4">
        <v>222</v>
      </c>
      <c r="F205" s="4">
        <f>ROUND(Source!AO201,O205)</f>
        <v>0</v>
      </c>
      <c r="G205" s="4" t="s">
        <v>146</v>
      </c>
      <c r="H205" s="4" t="s">
        <v>147</v>
      </c>
      <c r="I205" s="4"/>
      <c r="J205" s="4"/>
      <c r="K205" s="4">
        <v>222</v>
      </c>
      <c r="L205" s="4">
        <v>3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06" x14ac:dyDescent="0.2">
      <c r="A206" s="4">
        <v>50</v>
      </c>
      <c r="B206" s="4">
        <v>0</v>
      </c>
      <c r="C206" s="4">
        <v>0</v>
      </c>
      <c r="D206" s="4">
        <v>1</v>
      </c>
      <c r="E206" s="4">
        <v>225</v>
      </c>
      <c r="F206" s="4">
        <f>ROUND(Source!AV201,O206)</f>
        <v>382873.2</v>
      </c>
      <c r="G206" s="4" t="s">
        <v>148</v>
      </c>
      <c r="H206" s="4" t="s">
        <v>149</v>
      </c>
      <c r="I206" s="4"/>
      <c r="J206" s="4"/>
      <c r="K206" s="4">
        <v>225</v>
      </c>
      <c r="L206" s="4">
        <v>4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382873.2</v>
      </c>
      <c r="X206" s="4">
        <v>1</v>
      </c>
      <c r="Y206" s="4">
        <v>382873.2</v>
      </c>
      <c r="Z206" s="4"/>
      <c r="AA206" s="4"/>
      <c r="AB206" s="4"/>
    </row>
    <row r="207" spans="1:206" x14ac:dyDescent="0.2">
      <c r="A207" s="4">
        <v>50</v>
      </c>
      <c r="B207" s="4">
        <v>0</v>
      </c>
      <c r="C207" s="4">
        <v>0</v>
      </c>
      <c r="D207" s="4">
        <v>1</v>
      </c>
      <c r="E207" s="4">
        <v>226</v>
      </c>
      <c r="F207" s="4">
        <f>ROUND(Source!AW201,O207)</f>
        <v>382873.2</v>
      </c>
      <c r="G207" s="4" t="s">
        <v>150</v>
      </c>
      <c r="H207" s="4" t="s">
        <v>151</v>
      </c>
      <c r="I207" s="4"/>
      <c r="J207" s="4"/>
      <c r="K207" s="4">
        <v>226</v>
      </c>
      <c r="L207" s="4">
        <v>5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382873.2</v>
      </c>
      <c r="X207" s="4">
        <v>1</v>
      </c>
      <c r="Y207" s="4">
        <v>382873.2</v>
      </c>
      <c r="Z207" s="4"/>
      <c r="AA207" s="4"/>
      <c r="AB207" s="4"/>
    </row>
    <row r="208" spans="1:206" x14ac:dyDescent="0.2">
      <c r="A208" s="4">
        <v>50</v>
      </c>
      <c r="B208" s="4">
        <v>0</v>
      </c>
      <c r="C208" s="4">
        <v>0</v>
      </c>
      <c r="D208" s="4">
        <v>1</v>
      </c>
      <c r="E208" s="4">
        <v>227</v>
      </c>
      <c r="F208" s="4">
        <f>ROUND(Source!AX201,O208)</f>
        <v>0</v>
      </c>
      <c r="G208" s="4" t="s">
        <v>152</v>
      </c>
      <c r="H208" s="4" t="s">
        <v>153</v>
      </c>
      <c r="I208" s="4"/>
      <c r="J208" s="4"/>
      <c r="K208" s="4">
        <v>227</v>
      </c>
      <c r="L208" s="4">
        <v>6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228</v>
      </c>
      <c r="F209" s="4">
        <f>ROUND(Source!AY201,O209)</f>
        <v>382873.2</v>
      </c>
      <c r="G209" s="4" t="s">
        <v>154</v>
      </c>
      <c r="H209" s="4" t="s">
        <v>155</v>
      </c>
      <c r="I209" s="4"/>
      <c r="J209" s="4"/>
      <c r="K209" s="4">
        <v>228</v>
      </c>
      <c r="L209" s="4">
        <v>7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382873.2</v>
      </c>
      <c r="X209" s="4">
        <v>1</v>
      </c>
      <c r="Y209" s="4">
        <v>382873.2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216</v>
      </c>
      <c r="F210" s="4">
        <f>ROUND(Source!AP201,O210)</f>
        <v>0</v>
      </c>
      <c r="G210" s="4" t="s">
        <v>156</v>
      </c>
      <c r="H210" s="4" t="s">
        <v>157</v>
      </c>
      <c r="I210" s="4"/>
      <c r="J210" s="4"/>
      <c r="K210" s="4">
        <v>216</v>
      </c>
      <c r="L210" s="4">
        <v>8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223</v>
      </c>
      <c r="F211" s="4">
        <f>ROUND(Source!AQ201,O211)</f>
        <v>0</v>
      </c>
      <c r="G211" s="4" t="s">
        <v>158</v>
      </c>
      <c r="H211" s="4" t="s">
        <v>159</v>
      </c>
      <c r="I211" s="4"/>
      <c r="J211" s="4"/>
      <c r="K211" s="4">
        <v>223</v>
      </c>
      <c r="L211" s="4">
        <v>9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229</v>
      </c>
      <c r="F212" s="4">
        <f>ROUND(Source!AZ201,O212)</f>
        <v>0</v>
      </c>
      <c r="G212" s="4" t="s">
        <v>160</v>
      </c>
      <c r="H212" s="4" t="s">
        <v>161</v>
      </c>
      <c r="I212" s="4"/>
      <c r="J212" s="4"/>
      <c r="K212" s="4">
        <v>229</v>
      </c>
      <c r="L212" s="4">
        <v>10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203</v>
      </c>
      <c r="F213" s="4">
        <f>ROUND(Source!Q201,O213)</f>
        <v>3865.35</v>
      </c>
      <c r="G213" s="4" t="s">
        <v>162</v>
      </c>
      <c r="H213" s="4" t="s">
        <v>163</v>
      </c>
      <c r="I213" s="4"/>
      <c r="J213" s="4"/>
      <c r="K213" s="4">
        <v>203</v>
      </c>
      <c r="L213" s="4">
        <v>11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3865.35</v>
      </c>
      <c r="X213" s="4">
        <v>1</v>
      </c>
      <c r="Y213" s="4">
        <v>3865.35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231</v>
      </c>
      <c r="F214" s="4">
        <f>ROUND(Source!BB201,O214)</f>
        <v>241730.98</v>
      </c>
      <c r="G214" s="4" t="s">
        <v>164</v>
      </c>
      <c r="H214" s="4" t="s">
        <v>165</v>
      </c>
      <c r="I214" s="4"/>
      <c r="J214" s="4"/>
      <c r="K214" s="4">
        <v>231</v>
      </c>
      <c r="L214" s="4">
        <v>12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241730.98</v>
      </c>
      <c r="X214" s="4">
        <v>1</v>
      </c>
      <c r="Y214" s="4">
        <v>241730.98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204</v>
      </c>
      <c r="F215" s="4">
        <f>ROUND(Source!R201,O215)</f>
        <v>1501.75</v>
      </c>
      <c r="G215" s="4" t="s">
        <v>166</v>
      </c>
      <c r="H215" s="4" t="s">
        <v>167</v>
      </c>
      <c r="I215" s="4"/>
      <c r="J215" s="4"/>
      <c r="K215" s="4">
        <v>204</v>
      </c>
      <c r="L215" s="4">
        <v>13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1501.75</v>
      </c>
      <c r="X215" s="4">
        <v>1</v>
      </c>
      <c r="Y215" s="4">
        <v>1501.75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205</v>
      </c>
      <c r="F216" s="4">
        <f>ROUND(Source!S201,O216)</f>
        <v>173110.85</v>
      </c>
      <c r="G216" s="4" t="s">
        <v>168</v>
      </c>
      <c r="H216" s="4" t="s">
        <v>169</v>
      </c>
      <c r="I216" s="4"/>
      <c r="J216" s="4"/>
      <c r="K216" s="4">
        <v>205</v>
      </c>
      <c r="L216" s="4">
        <v>14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173110.85</v>
      </c>
      <c r="X216" s="4">
        <v>1</v>
      </c>
      <c r="Y216" s="4">
        <v>173110.85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232</v>
      </c>
      <c r="F217" s="4">
        <f>ROUND(Source!BC201,O217)</f>
        <v>490081.75</v>
      </c>
      <c r="G217" s="4" t="s">
        <v>170</v>
      </c>
      <c r="H217" s="4" t="s">
        <v>171</v>
      </c>
      <c r="I217" s="4"/>
      <c r="J217" s="4"/>
      <c r="K217" s="4">
        <v>232</v>
      </c>
      <c r="L217" s="4">
        <v>15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490081.75</v>
      </c>
      <c r="X217" s="4">
        <v>1</v>
      </c>
      <c r="Y217" s="4">
        <v>490081.75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214</v>
      </c>
      <c r="F218" s="4">
        <f>ROUND(Source!AS201,O218)</f>
        <v>380581.26</v>
      </c>
      <c r="G218" s="4" t="s">
        <v>172</v>
      </c>
      <c r="H218" s="4" t="s">
        <v>173</v>
      </c>
      <c r="I218" s="4"/>
      <c r="J218" s="4"/>
      <c r="K218" s="4">
        <v>214</v>
      </c>
      <c r="L218" s="4">
        <v>16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380581.26</v>
      </c>
      <c r="X218" s="4">
        <v>1</v>
      </c>
      <c r="Y218" s="4">
        <v>380581.26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215</v>
      </c>
      <c r="F219" s="4">
        <f>ROUND(Source!AT201,O219)</f>
        <v>1134843.92</v>
      </c>
      <c r="G219" s="4" t="s">
        <v>174</v>
      </c>
      <c r="H219" s="4" t="s">
        <v>175</v>
      </c>
      <c r="I219" s="4"/>
      <c r="J219" s="4"/>
      <c r="K219" s="4">
        <v>215</v>
      </c>
      <c r="L219" s="4">
        <v>17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1134843.92</v>
      </c>
      <c r="X219" s="4">
        <v>1</v>
      </c>
      <c r="Y219" s="4">
        <v>1134843.92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217</v>
      </c>
      <c r="F220" s="4">
        <f>ROUND(Source!AU201,O220)</f>
        <v>0</v>
      </c>
      <c r="G220" s="4" t="s">
        <v>176</v>
      </c>
      <c r="H220" s="4" t="s">
        <v>177</v>
      </c>
      <c r="I220" s="4"/>
      <c r="J220" s="4"/>
      <c r="K220" s="4">
        <v>217</v>
      </c>
      <c r="L220" s="4">
        <v>18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230</v>
      </c>
      <c r="F221" s="4">
        <f>ROUND(Source!BA201,O221)</f>
        <v>0</v>
      </c>
      <c r="G221" s="4" t="s">
        <v>178</v>
      </c>
      <c r="H221" s="4" t="s">
        <v>179</v>
      </c>
      <c r="I221" s="4"/>
      <c r="J221" s="4"/>
      <c r="K221" s="4">
        <v>230</v>
      </c>
      <c r="L221" s="4">
        <v>19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206</v>
      </c>
      <c r="F222" s="4">
        <f>ROUND(Source!T201,O222)</f>
        <v>0</v>
      </c>
      <c r="G222" s="4" t="s">
        <v>180</v>
      </c>
      <c r="H222" s="4" t="s">
        <v>181</v>
      </c>
      <c r="I222" s="4"/>
      <c r="J222" s="4"/>
      <c r="K222" s="4">
        <v>206</v>
      </c>
      <c r="L222" s="4">
        <v>20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207</v>
      </c>
      <c r="F223" s="4">
        <f>Source!U201</f>
        <v>442.14964653908402</v>
      </c>
      <c r="G223" s="4" t="s">
        <v>182</v>
      </c>
      <c r="H223" s="4" t="s">
        <v>183</v>
      </c>
      <c r="I223" s="4"/>
      <c r="J223" s="4"/>
      <c r="K223" s="4">
        <v>207</v>
      </c>
      <c r="L223" s="4">
        <v>21</v>
      </c>
      <c r="M223" s="4">
        <v>3</v>
      </c>
      <c r="N223" s="4" t="s">
        <v>3</v>
      </c>
      <c r="O223" s="4">
        <v>-1</v>
      </c>
      <c r="P223" s="4"/>
      <c r="Q223" s="4"/>
      <c r="R223" s="4"/>
      <c r="S223" s="4"/>
      <c r="T223" s="4"/>
      <c r="U223" s="4"/>
      <c r="V223" s="4"/>
      <c r="W223" s="4">
        <v>442.14964653908402</v>
      </c>
      <c r="X223" s="4">
        <v>1</v>
      </c>
      <c r="Y223" s="4">
        <v>442.14964653908402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208</v>
      </c>
      <c r="F224" s="4">
        <f>Source!V201</f>
        <v>0</v>
      </c>
      <c r="G224" s="4" t="s">
        <v>184</v>
      </c>
      <c r="H224" s="4" t="s">
        <v>185</v>
      </c>
      <c r="I224" s="4"/>
      <c r="J224" s="4"/>
      <c r="K224" s="4">
        <v>208</v>
      </c>
      <c r="L224" s="4">
        <v>22</v>
      </c>
      <c r="M224" s="4">
        <v>3</v>
      </c>
      <c r="N224" s="4" t="s">
        <v>3</v>
      </c>
      <c r="O224" s="4">
        <v>-1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50" x14ac:dyDescent="0.2">
      <c r="A225" s="4">
        <v>50</v>
      </c>
      <c r="B225" s="4">
        <v>0</v>
      </c>
      <c r="C225" s="4">
        <v>0</v>
      </c>
      <c r="D225" s="4">
        <v>1</v>
      </c>
      <c r="E225" s="4">
        <v>209</v>
      </c>
      <c r="F225" s="4">
        <f>ROUND(Source!W201,O225)</f>
        <v>0</v>
      </c>
      <c r="G225" s="4" t="s">
        <v>186</v>
      </c>
      <c r="H225" s="4" t="s">
        <v>187</v>
      </c>
      <c r="I225" s="4"/>
      <c r="J225" s="4"/>
      <c r="K225" s="4">
        <v>209</v>
      </c>
      <c r="L225" s="4">
        <v>23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50" x14ac:dyDescent="0.2">
      <c r="A226" s="4">
        <v>50</v>
      </c>
      <c r="B226" s="4">
        <v>0</v>
      </c>
      <c r="C226" s="4">
        <v>0</v>
      </c>
      <c r="D226" s="4">
        <v>1</v>
      </c>
      <c r="E226" s="4">
        <v>233</v>
      </c>
      <c r="F226" s="4">
        <f>ROUND(Source!BD201,O226)</f>
        <v>0</v>
      </c>
      <c r="G226" s="4" t="s">
        <v>188</v>
      </c>
      <c r="H226" s="4" t="s">
        <v>189</v>
      </c>
      <c r="I226" s="4"/>
      <c r="J226" s="4"/>
      <c r="K226" s="4">
        <v>233</v>
      </c>
      <c r="L226" s="4">
        <v>24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50" x14ac:dyDescent="0.2">
      <c r="A227" s="4">
        <v>50</v>
      </c>
      <c r="B227" s="4">
        <v>0</v>
      </c>
      <c r="C227" s="4">
        <v>0</v>
      </c>
      <c r="D227" s="4">
        <v>1</v>
      </c>
      <c r="E227" s="4">
        <v>210</v>
      </c>
      <c r="F227" s="4">
        <f>ROUND(Source!X201,O227)</f>
        <v>150246.95000000001</v>
      </c>
      <c r="G227" s="4" t="s">
        <v>190</v>
      </c>
      <c r="H227" s="4" t="s">
        <v>191</v>
      </c>
      <c r="I227" s="4"/>
      <c r="J227" s="4"/>
      <c r="K227" s="4">
        <v>210</v>
      </c>
      <c r="L227" s="4">
        <v>25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150246.95000000001</v>
      </c>
      <c r="X227" s="4">
        <v>1</v>
      </c>
      <c r="Y227" s="4">
        <v>150246.95000000001</v>
      </c>
      <c r="Z227" s="4"/>
      <c r="AA227" s="4"/>
      <c r="AB227" s="4"/>
    </row>
    <row r="228" spans="1:50" x14ac:dyDescent="0.2">
      <c r="A228" s="4">
        <v>50</v>
      </c>
      <c r="B228" s="4">
        <v>0</v>
      </c>
      <c r="C228" s="4">
        <v>0</v>
      </c>
      <c r="D228" s="4">
        <v>1</v>
      </c>
      <c r="E228" s="4">
        <v>211</v>
      </c>
      <c r="F228" s="4">
        <f>ROUND(Source!Y201,O228)</f>
        <v>71113.289999999994</v>
      </c>
      <c r="G228" s="4" t="s">
        <v>192</v>
      </c>
      <c r="H228" s="4" t="s">
        <v>193</v>
      </c>
      <c r="I228" s="4"/>
      <c r="J228" s="4"/>
      <c r="K228" s="4">
        <v>211</v>
      </c>
      <c r="L228" s="4">
        <v>26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71113.289999999994</v>
      </c>
      <c r="X228" s="4">
        <v>1</v>
      </c>
      <c r="Y228" s="4">
        <v>71113.289999999994</v>
      </c>
      <c r="Z228" s="4"/>
      <c r="AA228" s="4"/>
      <c r="AB228" s="4"/>
    </row>
    <row r="229" spans="1:50" x14ac:dyDescent="0.2">
      <c r="A229" s="4">
        <v>50</v>
      </c>
      <c r="B229" s="4">
        <v>0</v>
      </c>
      <c r="C229" s="4">
        <v>0</v>
      </c>
      <c r="D229" s="4">
        <v>1</v>
      </c>
      <c r="E229" s="4">
        <v>224</v>
      </c>
      <c r="F229" s="4">
        <f>ROUND(Source!AR201,O229)</f>
        <v>1515425.18</v>
      </c>
      <c r="G229" s="4" t="s">
        <v>194</v>
      </c>
      <c r="H229" s="4" t="s">
        <v>195</v>
      </c>
      <c r="I229" s="4"/>
      <c r="J229" s="4"/>
      <c r="K229" s="4">
        <v>224</v>
      </c>
      <c r="L229" s="4">
        <v>27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1515425.18</v>
      </c>
      <c r="X229" s="4">
        <v>1</v>
      </c>
      <c r="Y229" s="4">
        <v>1515425.18</v>
      </c>
      <c r="Z229" s="4"/>
      <c r="AA229" s="4"/>
      <c r="AB229" s="4"/>
    </row>
    <row r="232" spans="1:50" x14ac:dyDescent="0.2">
      <c r="A232">
        <v>-1</v>
      </c>
    </row>
    <row r="234" spans="1:50" x14ac:dyDescent="0.2">
      <c r="A234" s="3">
        <v>75</v>
      </c>
      <c r="B234" s="3" t="s">
        <v>258</v>
      </c>
      <c r="C234" s="3">
        <v>2024</v>
      </c>
      <c r="D234" s="3">
        <v>0</v>
      </c>
      <c r="E234" s="3">
        <v>3</v>
      </c>
      <c r="F234" s="3"/>
      <c r="G234" s="3">
        <v>0</v>
      </c>
      <c r="H234" s="3">
        <v>2</v>
      </c>
      <c r="I234" s="3">
        <v>1</v>
      </c>
      <c r="J234" s="3">
        <v>1</v>
      </c>
      <c r="K234" s="3">
        <v>95</v>
      </c>
      <c r="L234" s="3">
        <v>65</v>
      </c>
      <c r="M234" s="3">
        <v>0</v>
      </c>
      <c r="N234" s="3">
        <v>50732134</v>
      </c>
      <c r="O234" s="3">
        <v>1</v>
      </c>
    </row>
    <row r="235" spans="1:50" x14ac:dyDescent="0.2">
      <c r="A235" s="5">
        <v>1</v>
      </c>
      <c r="B235" s="5" t="s">
        <v>259</v>
      </c>
      <c r="C235" s="5" t="s">
        <v>260</v>
      </c>
      <c r="D235" s="5">
        <v>2024</v>
      </c>
      <c r="E235" s="5">
        <v>3</v>
      </c>
      <c r="F235" s="5">
        <v>1</v>
      </c>
      <c r="G235" s="5">
        <v>1</v>
      </c>
      <c r="H235" s="5">
        <v>0</v>
      </c>
      <c r="I235" s="5">
        <v>2</v>
      </c>
      <c r="J235" s="5">
        <v>1</v>
      </c>
      <c r="K235" s="5">
        <v>9.57</v>
      </c>
      <c r="L235" s="5">
        <v>6.92</v>
      </c>
      <c r="M235" s="5">
        <v>1</v>
      </c>
      <c r="N235" s="5">
        <v>1</v>
      </c>
      <c r="O235" s="5">
        <v>9.57</v>
      </c>
      <c r="P235" s="5">
        <v>6.92</v>
      </c>
      <c r="Q235" s="5">
        <v>1</v>
      </c>
      <c r="R235" s="5" t="s">
        <v>3</v>
      </c>
      <c r="S235" s="5" t="s">
        <v>3</v>
      </c>
      <c r="T235" s="5" t="s">
        <v>3</v>
      </c>
      <c r="U235" s="5" t="s">
        <v>3</v>
      </c>
      <c r="V235" s="5" t="s">
        <v>3</v>
      </c>
      <c r="W235" s="5" t="s">
        <v>3</v>
      </c>
      <c r="X235" s="5" t="s">
        <v>3</v>
      </c>
      <c r="Y235" s="5" t="s">
        <v>3</v>
      </c>
      <c r="Z235" s="5" t="s">
        <v>3</v>
      </c>
      <c r="AA235" s="5" t="s">
        <v>261</v>
      </c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>
        <v>50732135</v>
      </c>
      <c r="AO235" s="5"/>
      <c r="AP235" s="5"/>
      <c r="AQ235" s="5"/>
      <c r="AR235" s="5"/>
      <c r="AS235" s="5"/>
      <c r="AT235" s="5"/>
      <c r="AU235" s="5"/>
      <c r="AV235" s="5"/>
      <c r="AW235" s="5"/>
      <c r="AX235" s="5"/>
    </row>
    <row r="239" spans="1:50" x14ac:dyDescent="0.2">
      <c r="A239">
        <v>65</v>
      </c>
      <c r="C239">
        <v>1</v>
      </c>
      <c r="D239">
        <v>0</v>
      </c>
      <c r="E239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E643E-FF0F-4449-BA14-37B5BC4ABB51}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262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65736</v>
      </c>
      <c r="M1">
        <v>10</v>
      </c>
      <c r="N1">
        <v>11</v>
      </c>
      <c r="O1">
        <v>9</v>
      </c>
      <c r="P1">
        <v>0</v>
      </c>
      <c r="Q1">
        <v>1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/>
      <c r="G4" s="1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5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8200</v>
      </c>
      <c r="CI12" s="1" t="s">
        <v>3</v>
      </c>
      <c r="CJ12" s="1" t="s">
        <v>3</v>
      </c>
      <c r="CK12" s="1">
        <v>71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41660</v>
      </c>
      <c r="CT12" s="1">
        <v>1</v>
      </c>
      <c r="CU12" s="1">
        <v>71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50732134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15</v>
      </c>
      <c r="E16" s="7">
        <f>ROUND((Source!F188)/1000,2)</f>
        <v>380.58</v>
      </c>
      <c r="F16" s="7">
        <f>ROUND((Source!F189)/1000,2)</f>
        <v>1134.8399999999999</v>
      </c>
      <c r="G16" s="7">
        <f>ROUND((Source!F180)/1000,2)</f>
        <v>0</v>
      </c>
      <c r="H16" s="7">
        <f>ROUND((Source!F190)/1000+(Source!F191)/1000,2)</f>
        <v>0</v>
      </c>
      <c r="I16" s="7">
        <f>E16+F16+G16+H16</f>
        <v>1515.4199999999998</v>
      </c>
      <c r="J16" s="7">
        <f>ROUND((Source!F186+Source!F185)/1000,2)</f>
        <v>174.61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559849.4</v>
      </c>
      <c r="AU16" s="7">
        <v>382873.2</v>
      </c>
      <c r="AV16" s="7">
        <v>0</v>
      </c>
      <c r="AW16" s="7">
        <v>0</v>
      </c>
      <c r="AX16" s="7">
        <v>0</v>
      </c>
      <c r="AY16" s="7">
        <v>3865.35</v>
      </c>
      <c r="AZ16" s="7">
        <v>1501.75</v>
      </c>
      <c r="BA16" s="7">
        <v>173110.85</v>
      </c>
      <c r="BB16" s="7">
        <v>380581.26</v>
      </c>
      <c r="BC16" s="7">
        <v>1134843.92</v>
      </c>
      <c r="BD16" s="7">
        <v>0</v>
      </c>
      <c r="BE16" s="7">
        <v>0</v>
      </c>
      <c r="BF16" s="7">
        <v>442.14964653908402</v>
      </c>
      <c r="BG16" s="7">
        <v>0</v>
      </c>
      <c r="BH16" s="7">
        <v>0</v>
      </c>
      <c r="BI16" s="7">
        <v>150246.95000000001</v>
      </c>
      <c r="BJ16" s="7">
        <v>71113.289999999994</v>
      </c>
      <c r="BK16" s="7">
        <v>1515425.18</v>
      </c>
    </row>
    <row r="18" spans="1:19" x14ac:dyDescent="0.2">
      <c r="A18">
        <v>51</v>
      </c>
      <c r="E18" s="8">
        <f>SUMIF(A16:A17,3,E16:E17)</f>
        <v>380.58</v>
      </c>
      <c r="F18" s="8">
        <f>SUMIF(A16:A17,3,F16:F17)</f>
        <v>1134.8399999999999</v>
      </c>
      <c r="G18" s="8">
        <f>SUMIF(A16:A17,3,G16:G17)</f>
        <v>0</v>
      </c>
      <c r="H18" s="8">
        <f>SUMIF(A16:A17,3,H16:H17)</f>
        <v>0</v>
      </c>
      <c r="I18" s="8">
        <f>SUMIF(A16:A17,3,I16:I17)</f>
        <v>1515.4199999999998</v>
      </c>
      <c r="J18" s="8">
        <f>SUMIF(A16:A17,3,J16:J17)</f>
        <v>174.61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559849.4</v>
      </c>
      <c r="G20" s="4" t="s">
        <v>142</v>
      </c>
      <c r="H20" s="4" t="s">
        <v>143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382873.2</v>
      </c>
      <c r="G21" s="4" t="s">
        <v>144</v>
      </c>
      <c r="H21" s="4" t="s">
        <v>145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146</v>
      </c>
      <c r="H22" s="4" t="s">
        <v>147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382873.2</v>
      </c>
      <c r="G23" s="4" t="s">
        <v>148</v>
      </c>
      <c r="H23" s="4" t="s">
        <v>149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382873.2</v>
      </c>
      <c r="G24" s="4" t="s">
        <v>150</v>
      </c>
      <c r="H24" s="4" t="s">
        <v>151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152</v>
      </c>
      <c r="H25" s="4" t="s">
        <v>153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382873.2</v>
      </c>
      <c r="G26" s="4" t="s">
        <v>154</v>
      </c>
      <c r="H26" s="4" t="s">
        <v>155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156</v>
      </c>
      <c r="H27" s="4" t="s">
        <v>157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158</v>
      </c>
      <c r="H28" s="4" t="s">
        <v>159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160</v>
      </c>
      <c r="H29" s="4" t="s">
        <v>161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3865.35</v>
      </c>
      <c r="G30" s="4" t="s">
        <v>162</v>
      </c>
      <c r="H30" s="4" t="s">
        <v>163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241730.98</v>
      </c>
      <c r="G31" s="4" t="s">
        <v>164</v>
      </c>
      <c r="H31" s="4" t="s">
        <v>165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1501.75</v>
      </c>
      <c r="G32" s="4" t="s">
        <v>166</v>
      </c>
      <c r="H32" s="4" t="s">
        <v>167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173110.85</v>
      </c>
      <c r="G33" s="4" t="s">
        <v>168</v>
      </c>
      <c r="H33" s="4" t="s">
        <v>169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490081.75</v>
      </c>
      <c r="G34" s="4" t="s">
        <v>170</v>
      </c>
      <c r="H34" s="4" t="s">
        <v>171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380581.26</v>
      </c>
      <c r="G35" s="4" t="s">
        <v>172</v>
      </c>
      <c r="H35" s="4" t="s">
        <v>173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1134843.92</v>
      </c>
      <c r="G36" s="4" t="s">
        <v>174</v>
      </c>
      <c r="H36" s="4" t="s">
        <v>175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176</v>
      </c>
      <c r="H37" s="4" t="s">
        <v>177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178</v>
      </c>
      <c r="H38" s="4" t="s">
        <v>179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180</v>
      </c>
      <c r="H39" s="4" t="s">
        <v>181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442.14964653908402</v>
      </c>
      <c r="G40" s="4" t="s">
        <v>182</v>
      </c>
      <c r="H40" s="4" t="s">
        <v>183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184</v>
      </c>
      <c r="H41" s="4" t="s">
        <v>185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186</v>
      </c>
      <c r="H42" s="4" t="s">
        <v>187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188</v>
      </c>
      <c r="H43" s="4" t="s">
        <v>189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150246.95000000001</v>
      </c>
      <c r="G44" s="4" t="s">
        <v>190</v>
      </c>
      <c r="H44" s="4" t="s">
        <v>191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71113.289999999994</v>
      </c>
      <c r="G45" s="4" t="s">
        <v>192</v>
      </c>
      <c r="H45" s="4" t="s">
        <v>193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1515425.18</v>
      </c>
      <c r="G46" s="4" t="s">
        <v>194</v>
      </c>
      <c r="H46" s="4" t="s">
        <v>195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258</v>
      </c>
      <c r="C51" s="3">
        <v>2024</v>
      </c>
      <c r="D51" s="3">
        <v>0</v>
      </c>
      <c r="E51" s="3">
        <v>3</v>
      </c>
      <c r="F51" s="3"/>
      <c r="G51" s="3">
        <v>0</v>
      </c>
      <c r="H51" s="3">
        <v>2</v>
      </c>
      <c r="I51" s="3">
        <v>1</v>
      </c>
      <c r="J51" s="3">
        <v>1</v>
      </c>
      <c r="K51" s="3">
        <v>95</v>
      </c>
      <c r="L51" s="3">
        <v>65</v>
      </c>
      <c r="M51" s="3">
        <v>0</v>
      </c>
      <c r="N51" s="3">
        <v>50732134</v>
      </c>
      <c r="O51" s="3">
        <v>1</v>
      </c>
    </row>
    <row r="52" spans="1:50" x14ac:dyDescent="0.2">
      <c r="A52" s="5">
        <v>1</v>
      </c>
      <c r="B52" s="5" t="s">
        <v>259</v>
      </c>
      <c r="C52" s="5" t="s">
        <v>260</v>
      </c>
      <c r="D52" s="5">
        <v>2024</v>
      </c>
      <c r="E52" s="5">
        <v>3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9.57</v>
      </c>
      <c r="L52" s="5">
        <v>6.92</v>
      </c>
      <c r="M52" s="5">
        <v>1</v>
      </c>
      <c r="N52" s="5">
        <v>1</v>
      </c>
      <c r="O52" s="5">
        <v>9.57</v>
      </c>
      <c r="P52" s="5">
        <v>6.92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261</v>
      </c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50732135</v>
      </c>
      <c r="AO52" s="5"/>
      <c r="AP52" s="5"/>
      <c r="AQ52" s="5"/>
      <c r="AR52" s="5"/>
      <c r="AS52" s="5"/>
      <c r="AT52" s="5"/>
      <c r="AU52" s="5"/>
      <c r="AV52" s="5"/>
      <c r="AW52" s="5"/>
      <c r="AX52" s="5"/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675CA-8627-498C-9457-61DB9A1366F1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00680-DA02-43F2-BC32-CA44632389EC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16FCC-6EB1-470A-BAE7-9D9EDBA4F073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ТСН-2001(с доп.43</vt:lpstr>
      <vt:lpstr>Source</vt:lpstr>
      <vt:lpstr>SourceObSm</vt:lpstr>
      <vt:lpstr>SmtRes</vt:lpstr>
      <vt:lpstr>EtalonRes</vt:lpstr>
      <vt:lpstr>SrcKA</vt:lpstr>
      <vt:lpstr>'Смета по ТСН-2001(с доп.43'!Заголовки_для_печати</vt:lpstr>
      <vt:lpstr>'Смета по ТСН-2001(с доп.43'!Область_печати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Ольга Широкова</cp:lastModifiedBy>
  <cp:lastPrinted>2024-10-11T08:23:48Z</cp:lastPrinted>
  <dcterms:created xsi:type="dcterms:W3CDTF">2024-10-11T08:15:45Z</dcterms:created>
  <dcterms:modified xsi:type="dcterms:W3CDTF">2024-10-11T08:25:50Z</dcterms:modified>
</cp:coreProperties>
</file>